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OURENSE\"/>
    </mc:Choice>
  </mc:AlternateContent>
  <workbookProtection workbookAlgorithmName="SHA-512" workbookHashValue="eO7E5ypCQMp7vcNe/mHfVw74a0rGiBObWJpAzpemmoMNYi9BhpCJl+pZ+EsMBdCccOOhX3CYZYggDkMh/yBz3g==" workbookSaltValue="yhQZqizACvlSudspf98jF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BG17" i="13" s="1"/>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F11" i="16" s="1"/>
  <c r="BL11" i="16" s="1"/>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BF17" i="8" s="1"/>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23" i="12"/>
  <c r="ER31" i="8"/>
  <c r="EL31" i="8"/>
  <c r="BE12" i="21"/>
  <c r="BE14" i="21" s="1"/>
  <c r="BE31" i="21" s="1"/>
  <c r="EQ31" i="8"/>
  <c r="EN31" i="8"/>
  <c r="BA14" i="16"/>
  <c r="M26" i="2"/>
  <c r="ES31" i="8"/>
  <c r="N25" i="11"/>
  <c r="F16" i="11"/>
  <c r="AQ16" i="11" s="1"/>
  <c r="EP31" i="8"/>
  <c r="AL14" i="16"/>
  <c r="AJ14" i="16"/>
  <c r="EP31" i="19"/>
  <c r="S14" i="16"/>
  <c r="P14" i="16"/>
  <c r="F13" i="16"/>
  <c r="Z14" i="17"/>
  <c r="R30" i="17"/>
  <c r="K26" i="2"/>
  <c r="N26" i="2"/>
  <c r="M23" i="2"/>
  <c r="K30" i="2"/>
  <c r="F30" i="17"/>
  <c r="F26" i="17"/>
  <c r="F14" i="7"/>
  <c r="T14" i="20"/>
  <c r="BB26" i="13"/>
  <c r="BF16" i="8"/>
  <c r="BD9" i="8"/>
  <c r="AH14" i="16"/>
  <c r="AO14" i="21"/>
  <c r="AP14" i="16"/>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AJ32" i="20"/>
  <c r="G30" i="14"/>
  <c r="G23" i="14"/>
  <c r="U18" i="11"/>
  <c r="AX32" i="20"/>
  <c r="Y32" i="20"/>
  <c r="L32" i="20"/>
  <c r="AG32" i="20"/>
  <c r="H32" i="20"/>
  <c r="T32" i="21"/>
  <c r="F32" i="20"/>
  <c r="AF32" i="20"/>
  <c r="G26" i="14"/>
  <c r="S32" i="20"/>
  <c r="K32" i="20"/>
  <c r="AQ32" i="21"/>
  <c r="O17" i="11"/>
  <c r="L17" i="14" l="1"/>
  <c r="T31" i="8"/>
  <c r="R8" i="9"/>
  <c r="S13" i="14" s="1"/>
  <c r="V13" i="14" s="1"/>
  <c r="AA10" i="16"/>
  <c r="AA20" i="16"/>
  <c r="U10" i="21"/>
  <c r="AZ20" i="11"/>
  <c r="L13" i="2"/>
  <c r="L29" i="2"/>
  <c r="R13" i="14"/>
  <c r="S29" i="14"/>
  <c r="V29" i="14" s="1"/>
  <c r="R19" i="14"/>
  <c r="T25" i="11"/>
  <c r="S16" i="14"/>
  <c r="V16" i="14" s="1"/>
  <c r="AA28" i="16"/>
  <c r="X13" i="17"/>
  <c r="X9" i="17"/>
  <c r="X19" i="20"/>
  <c r="V19" i="16"/>
  <c r="X14" i="20"/>
  <c r="BE26" i="13"/>
  <c r="BA23" i="13"/>
  <c r="BE19" i="13"/>
  <c r="I31" i="8"/>
  <c r="AS14" i="8"/>
  <c r="AS31" i="8" s="1"/>
  <c r="H13" i="10"/>
  <c r="F19" i="2"/>
  <c r="F12" i="2"/>
  <c r="BF9" i="8"/>
  <c r="BE9" i="8"/>
  <c r="I9" i="7" s="1"/>
  <c r="BD12" i="8"/>
  <c r="H12" i="7" s="1"/>
  <c r="BG16" i="8"/>
  <c r="K16" i="7" s="1"/>
  <c r="N9" i="11"/>
  <c r="BJ14" i="16"/>
  <c r="AT31" i="8"/>
  <c r="E14" i="17"/>
  <c r="AA30" i="11"/>
  <c r="AN29" i="11"/>
  <c r="G29" i="3"/>
  <c r="G10" i="3"/>
  <c r="K23" i="2"/>
  <c r="AQ13" i="17"/>
  <c r="BG11" i="13"/>
  <c r="BF26" i="13"/>
  <c r="BB14" i="13"/>
  <c r="ER31" i="13"/>
  <c r="AY14" i="8"/>
  <c r="AJ31" i="8"/>
  <c r="I25" i="3"/>
  <c r="BE28" i="8"/>
  <c r="AZ30" i="8"/>
  <c r="AS26" i="21"/>
  <c r="AL20" i="11"/>
  <c r="L21" i="14"/>
  <c r="B19" i="6"/>
  <c r="M14" i="2"/>
  <c r="N14" i="2"/>
  <c r="N23" i="2"/>
  <c r="R31" i="8"/>
  <c r="AB31" i="8"/>
  <c r="F12" i="11"/>
  <c r="AQ12" i="11" s="1"/>
  <c r="H12" i="2"/>
  <c r="C19" i="6"/>
  <c r="F21" i="2"/>
  <c r="J21" i="2"/>
  <c r="BF23" i="19"/>
  <c r="CJ31" i="19"/>
  <c r="CN31" i="19"/>
  <c r="BC23" i="13"/>
  <c r="BF23" i="13" s="1"/>
  <c r="BB23" i="13"/>
  <c r="BD20" i="13"/>
  <c r="BD22" i="13"/>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E31" i="8"/>
  <c r="F26" i="7"/>
  <c r="H26" i="12"/>
  <c r="L31" i="8"/>
  <c r="C10" i="6"/>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L12" i="14"/>
  <c r="L10" i="14"/>
  <c r="E18" i="6"/>
  <c r="Y11" i="11"/>
  <c r="AP29" i="11"/>
  <c r="AP10" i="11"/>
  <c r="AP11" i="11"/>
  <c r="AP9" i="11"/>
  <c r="Y20" i="11"/>
  <c r="AC11" i="11"/>
  <c r="AC19" i="11"/>
  <c r="AC21" i="11"/>
  <c r="N21" i="11"/>
  <c r="AA26" i="11"/>
  <c r="AR14" i="21"/>
  <c r="AR14" i="11"/>
  <c r="AH31" i="8"/>
  <c r="AL31" i="8"/>
  <c r="G23" i="7"/>
  <c r="AT23" i="17"/>
  <c r="C16" i="14"/>
  <c r="K16" i="14" s="1"/>
  <c r="E26" i="14"/>
  <c r="G9" i="12"/>
  <c r="E9" i="12"/>
  <c r="Y25" i="11"/>
  <c r="Y22" i="11"/>
  <c r="AQ10" i="11"/>
  <c r="AC22" i="11"/>
  <c r="J14" i="11"/>
  <c r="E25" i="3"/>
  <c r="E18" i="3"/>
  <c r="I16" i="3"/>
  <c r="I13" i="3"/>
  <c r="J28" i="10"/>
  <c r="L28" i="10" s="1"/>
  <c r="E9" i="6"/>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M13" i="11"/>
  <c r="C9" i="6"/>
  <c r="J9" i="2"/>
  <c r="C23" i="2"/>
  <c r="D23" i="2" s="1"/>
  <c r="AL16" i="11"/>
  <c r="D16" i="6"/>
  <c r="J16" i="12" s="1"/>
  <c r="AN16" i="11"/>
  <c r="C16" i="6"/>
  <c r="I16" i="12" s="1"/>
  <c r="J9" i="7"/>
  <c r="BI20" i="16"/>
  <c r="H16" i="7"/>
  <c r="H25" i="7"/>
  <c r="AN20" i="11"/>
  <c r="I23" i="2"/>
  <c r="J23" i="2" s="1"/>
  <c r="D20" i="6"/>
  <c r="J20" i="12" s="1"/>
  <c r="J20" i="7"/>
  <c r="F29" i="2"/>
  <c r="F20" i="2"/>
  <c r="I14" i="2"/>
  <c r="J14" i="2" s="1"/>
  <c r="AO12" i="11"/>
  <c r="L18" i="14"/>
  <c r="AN11" i="11"/>
  <c r="AM22" i="11"/>
  <c r="E17" i="6"/>
  <c r="E10" i="6"/>
  <c r="AN13" i="11"/>
  <c r="C25" i="6"/>
  <c r="AO10" i="11"/>
  <c r="I16" i="7"/>
  <c r="D17" i="2"/>
  <c r="B25" i="6"/>
  <c r="AO16" i="11"/>
  <c r="BI16" i="16"/>
  <c r="L16" i="14"/>
  <c r="AL13" i="11"/>
  <c r="C11" i="6"/>
  <c r="L11" i="14"/>
  <c r="BI18" i="16"/>
  <c r="AL18" i="11"/>
  <c r="H18" i="2"/>
  <c r="H13" i="2"/>
  <c r="H11" i="2"/>
  <c r="AN9" i="11"/>
  <c r="T10" i="21"/>
  <c r="BC33" i="21"/>
  <c r="BE14" i="19"/>
  <c r="AP31" i="19"/>
  <c r="Q31" i="19"/>
  <c r="X31" i="19"/>
  <c r="AN31" i="19"/>
  <c r="AM31" i="19"/>
  <c r="BI31" i="19"/>
  <c r="AY31" i="19"/>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A32" i="20"/>
  <c r="AN32" i="20"/>
  <c r="AD32" i="20"/>
  <c r="AC32" i="20"/>
  <c r="AV32" i="20"/>
  <c r="O10" i="11"/>
  <c r="AP32" i="20"/>
  <c r="U17" i="11"/>
  <c r="W32" i="21"/>
  <c r="AQ32" i="20"/>
  <c r="I10" i="12" l="1"/>
  <c r="K9" i="12"/>
  <c r="AP14" i="21"/>
  <c r="AM9" i="11"/>
  <c r="V16" i="20"/>
  <c r="V23" i="20" s="1"/>
  <c r="AA12" i="21"/>
  <c r="T18" i="20"/>
  <c r="AA18" i="16"/>
  <c r="AA17" i="16"/>
  <c r="T18" i="11"/>
  <c r="T11" i="11"/>
  <c r="T13" i="11"/>
  <c r="R12" i="14"/>
  <c r="S19" i="14"/>
  <c r="V19" i="14" s="1"/>
  <c r="X12" i="16"/>
  <c r="L21" i="2"/>
  <c r="AZ28" i="11"/>
  <c r="V21" i="16"/>
  <c r="AA9" i="16"/>
  <c r="X21" i="17"/>
  <c r="T17" i="11"/>
  <c r="K17" i="12"/>
  <c r="I9" i="12"/>
  <c r="T22" i="11"/>
  <c r="R22" i="14"/>
  <c r="S18" i="14"/>
  <c r="V18" i="14" s="1"/>
  <c r="BH30" i="16"/>
  <c r="AP14" i="20"/>
  <c r="V10" i="21"/>
  <c r="AO18" i="17"/>
  <c r="AO9" i="17"/>
  <c r="AO16" i="17"/>
  <c r="AM20" i="11"/>
  <c r="AO13" i="17"/>
  <c r="AO10" i="17"/>
  <c r="AO30" i="17"/>
  <c r="BH26" i="16"/>
  <c r="AM17" i="11"/>
  <c r="AQ26" i="21"/>
  <c r="AO26" i="17"/>
  <c r="X25" i="16"/>
  <c r="X30" i="16" s="1"/>
  <c r="T19" i="20"/>
  <c r="V16" i="16"/>
  <c r="X20" i="20"/>
  <c r="X18" i="20"/>
  <c r="X11" i="17"/>
  <c r="X16" i="17"/>
  <c r="X10" i="17"/>
  <c r="X22" i="17"/>
  <c r="AA29" i="16"/>
  <c r="X25" i="17"/>
  <c r="T20" i="11"/>
  <c r="S9" i="14"/>
  <c r="V9" i="14" s="1"/>
  <c r="T29" i="11"/>
  <c r="T21" i="11"/>
  <c r="R29" i="14"/>
  <c r="R17" i="14"/>
  <c r="R10" i="14"/>
  <c r="S17" i="14"/>
  <c r="V17" i="14" s="1"/>
  <c r="S12" i="14"/>
  <c r="V12" i="14" s="1"/>
  <c r="S13" i="17"/>
  <c r="X9" i="16"/>
  <c r="X31" i="16" s="1"/>
  <c r="L25" i="2"/>
  <c r="L19" i="2"/>
  <c r="L11" i="2"/>
  <c r="AZ22" i="11"/>
  <c r="AZ12" i="11"/>
  <c r="X17" i="20"/>
  <c r="X22" i="20"/>
  <c r="X18" i="17"/>
  <c r="AA16" i="16"/>
  <c r="X17" i="17"/>
  <c r="AA25" i="16"/>
  <c r="S11" i="14"/>
  <c r="V11" i="14" s="1"/>
  <c r="V13" i="16"/>
  <c r="T12" i="11"/>
  <c r="R11" i="14"/>
  <c r="X12" i="21"/>
  <c r="T9"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AP17" i="20"/>
  <c r="BL19" i="11"/>
  <c r="BJ22" i="11"/>
  <c r="BJ18" i="11"/>
  <c r="BG10" i="11"/>
  <c r="BM17" i="11"/>
  <c r="V11" i="16"/>
  <c r="BF21" i="11"/>
  <c r="V25" i="11"/>
  <c r="BF17" i="11"/>
  <c r="BF10" i="11"/>
  <c r="BL12" i="11"/>
  <c r="BK21" i="11"/>
  <c r="V11" i="11"/>
  <c r="BI25" i="11"/>
  <c r="BM12" i="11"/>
  <c r="V13" i="11"/>
  <c r="V9" i="11"/>
  <c r="BI19" i="11"/>
  <c r="BJ16" i="11"/>
  <c r="AP22" i="20"/>
  <c r="AP16" i="20"/>
  <c r="BG16" i="11"/>
  <c r="R25" i="14"/>
  <c r="BH13" i="11"/>
  <c r="V20" i="11"/>
  <c r="BL13" i="11"/>
  <c r="Q13" i="11" s="1"/>
  <c r="BL25" i="11"/>
  <c r="Q25" i="11" s="1"/>
  <c r="BH18" i="11"/>
  <c r="BG19" i="11"/>
  <c r="BM16" i="11"/>
  <c r="AZ9" i="11"/>
  <c r="AO28" i="17"/>
  <c r="BL29" i="11"/>
  <c r="BJ25" i="11"/>
  <c r="T16" i="16"/>
  <c r="AZ16" i="11"/>
  <c r="AZ23" i="11" s="1"/>
  <c r="BW20" i="20"/>
  <c r="BU16" i="17"/>
  <c r="BV19" i="16"/>
  <c r="BW19" i="20"/>
  <c r="BV18" i="16"/>
  <c r="X20" i="16"/>
  <c r="V16" i="11"/>
  <c r="BG25" i="11"/>
  <c r="Q18" i="20"/>
  <c r="Q23" i="20" s="1"/>
  <c r="BF18" i="11"/>
  <c r="BG22" i="11"/>
  <c r="AZ19" i="11"/>
  <c r="V12" i="21"/>
  <c r="AZ18" i="11"/>
  <c r="AP21" i="20"/>
  <c r="BJ11" i="11"/>
  <c r="R10" i="21"/>
  <c r="BG9" i="11"/>
  <c r="BL11" i="11"/>
  <c r="R18" i="20"/>
  <c r="R23" i="20" s="1"/>
  <c r="BL21" i="11"/>
  <c r="BK18" i="11"/>
  <c r="T18" i="16"/>
  <c r="AP18" i="20"/>
  <c r="BG21" i="11"/>
  <c r="BU25" i="17"/>
  <c r="BV28" i="16"/>
  <c r="BV13" i="16"/>
  <c r="BW18" i="20"/>
  <c r="BU10" i="17"/>
  <c r="BV12" i="16"/>
  <c r="BW25" i="20"/>
  <c r="BW12" i="20"/>
  <c r="BU22" i="17"/>
  <c r="BV16" i="16"/>
  <c r="U13" i="17"/>
  <c r="BW16" i="20"/>
  <c r="BU20" i="17"/>
  <c r="U10" i="17"/>
  <c r="BW29" i="20"/>
  <c r="BV10" i="16"/>
  <c r="BW22" i="20"/>
  <c r="BU18" i="17"/>
  <c r="BV29" i="16"/>
  <c r="V12" i="16"/>
  <c r="BW21" i="20"/>
  <c r="BU12" i="17"/>
  <c r="BV9" i="16"/>
  <c r="S28" i="17"/>
  <c r="AZ17" i="11"/>
  <c r="T16" i="11"/>
  <c r="BG12" i="11"/>
  <c r="Q18" i="17"/>
  <c r="BI20" i="11"/>
  <c r="BH10" i="11"/>
  <c r="BI9" i="11"/>
  <c r="AQ10" i="21"/>
  <c r="BL28" i="11"/>
  <c r="AO29" i="17"/>
  <c r="BL10" i="11"/>
  <c r="S10" i="17"/>
  <c r="BH10" i="16"/>
  <c r="BI29" i="11"/>
  <c r="BH11" i="11"/>
  <c r="BG17" i="11"/>
  <c r="S18" i="17"/>
  <c r="BM21" i="11"/>
  <c r="BM9" i="11"/>
  <c r="AO25" i="17"/>
  <c r="BH12" i="16"/>
  <c r="BJ17" i="11"/>
  <c r="BK22" i="11"/>
  <c r="BL17" i="11"/>
  <c r="BH22" i="11"/>
  <c r="X12" i="17"/>
  <c r="L22" i="2"/>
  <c r="X22" i="16"/>
  <c r="S16" i="17"/>
  <c r="S17" i="17"/>
  <c r="L12" i="2"/>
  <c r="X19" i="16"/>
  <c r="X10" i="21"/>
  <c r="L20" i="2"/>
  <c r="U9" i="17"/>
  <c r="U31" i="17" s="1"/>
  <c r="V10" i="16"/>
  <c r="V9" i="16"/>
  <c r="X13" i="16"/>
  <c r="BH9" i="16"/>
  <c r="BF13" i="11"/>
  <c r="BH16" i="16"/>
  <c r="BF28" i="11"/>
  <c r="BG20" i="11"/>
  <c r="BK29" i="11"/>
  <c r="BK11" i="11"/>
  <c r="AP10" i="21"/>
  <c r="BH20" i="16"/>
  <c r="BH22" i="16"/>
  <c r="BJ20" i="11"/>
  <c r="AZ13" i="11"/>
  <c r="BH28" i="16"/>
  <c r="V29" i="11"/>
  <c r="V22" i="11"/>
  <c r="AZ21" i="11"/>
  <c r="BM20" i="11"/>
  <c r="BJ28" i="11"/>
  <c r="BU28" i="17"/>
  <c r="BU11" i="17"/>
  <c r="BW9" i="20"/>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P16" i="17"/>
  <c r="P23" i="17" s="1"/>
  <c r="P31" i="17" s="1"/>
  <c r="BL20" i="11"/>
  <c r="BF12" i="11"/>
  <c r="BL16" i="11"/>
  <c r="BH25" i="16"/>
  <c r="BH21" i="11"/>
  <c r="BK20" i="11"/>
  <c r="AZ25" i="11"/>
  <c r="AZ30" i="11" s="1"/>
  <c r="BJ10" i="11"/>
  <c r="BK17" i="11"/>
  <c r="Q16" i="17"/>
  <c r="Q23" i="17" s="1"/>
  <c r="Q31" i="17" s="1"/>
  <c r="BM18" i="11"/>
  <c r="BF16" i="11"/>
  <c r="BF23" i="11" s="1"/>
  <c r="BH17" i="11"/>
  <c r="BL22" i="11"/>
  <c r="AQ12" i="21"/>
  <c r="BI22" i="11"/>
  <c r="BH25" i="11"/>
  <c r="BK10" i="11"/>
  <c r="BK14" i="11" s="1"/>
  <c r="BI21" i="11"/>
  <c r="L10" i="2"/>
  <c r="L28" i="2"/>
  <c r="X21" i="20"/>
  <c r="L16" i="2"/>
  <c r="L17" i="2"/>
  <c r="L18" i="2"/>
  <c r="X16" i="16"/>
  <c r="X23" i="16" s="1"/>
  <c r="AA11" i="16"/>
  <c r="L9" i="2"/>
  <c r="V25" i="16"/>
  <c r="T28" i="11"/>
  <c r="T19" i="11"/>
  <c r="R28" i="14"/>
  <c r="R18" i="14"/>
  <c r="S28" i="14"/>
  <c r="V28" i="14" s="1"/>
  <c r="S21" i="14"/>
  <c r="V21" i="14" s="1"/>
  <c r="S10" i="14"/>
  <c r="V10" i="14" s="1"/>
  <c r="I19" i="12"/>
  <c r="BG30" i="13"/>
  <c r="G26" i="3"/>
  <c r="I11" i="12"/>
  <c r="I12" i="12"/>
  <c r="AB33" i="21"/>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K10" i="12"/>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P25" i="11"/>
  <c r="N26" i="11"/>
  <c r="Q26" i="11" s="1"/>
  <c r="AK30" i="11"/>
  <c r="AG30" i="11"/>
  <c r="AG26" i="11"/>
  <c r="AI23" i="11"/>
  <c r="AI14" i="11"/>
  <c r="AE14" i="11"/>
  <c r="AU14" i="11"/>
  <c r="AP18" i="11"/>
  <c r="AT14" i="11"/>
  <c r="AV23" i="11"/>
  <c r="AV26" i="11" s="1"/>
  <c r="R14" i="11"/>
  <c r="R26" i="11"/>
  <c r="Y19" i="11"/>
  <c r="X26" i="11"/>
  <c r="Z14" i="11"/>
  <c r="AD14" i="11"/>
  <c r="AF23" i="11"/>
  <c r="AF14" i="11"/>
  <c r="I14" i="11"/>
  <c r="J23" i="11"/>
  <c r="J30" i="11"/>
  <c r="L30" i="11"/>
  <c r="AY23" i="11"/>
  <c r="AY26" i="11" s="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F20" i="10"/>
  <c r="J20" i="10"/>
  <c r="L20" i="10" s="1"/>
  <c r="BK23" i="11"/>
  <c r="K12" i="12"/>
  <c r="AJ23" i="11"/>
  <c r="D23" i="5"/>
  <c r="D25" i="2"/>
  <c r="E25" i="6"/>
  <c r="K25" i="12" s="1"/>
  <c r="AO25" i="11"/>
  <c r="F17" i="2"/>
  <c r="H17" i="2"/>
  <c r="J17" i="2"/>
  <c r="F14" i="3"/>
  <c r="E9" i="3"/>
  <c r="G9" i="3"/>
  <c r="T23" i="16"/>
  <c r="T31" i="16" s="1"/>
  <c r="AO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D31" i="12"/>
  <c r="I18" i="12"/>
  <c r="I21" i="12"/>
  <c r="P21" i="11"/>
  <c r="Q21"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O12" i="11"/>
  <c r="H32" i="17"/>
  <c r="AQ17" i="11" l="1"/>
  <c r="AA31" i="11"/>
  <c r="E31" i="2"/>
  <c r="BW33" i="20"/>
  <c r="Q20" i="11"/>
  <c r="BV14" i="16"/>
  <c r="AZ26" i="11"/>
  <c r="Q16" i="11"/>
  <c r="P18" i="11"/>
  <c r="BU33" i="17"/>
  <c r="Q9" i="11"/>
  <c r="U14" i="17"/>
  <c r="P9" i="11"/>
  <c r="BL23" i="11"/>
  <c r="P16" i="11"/>
  <c r="P20" i="11"/>
  <c r="R31" i="20"/>
  <c r="S23" i="16"/>
  <c r="S31" i="16" s="1"/>
  <c r="R14" i="21"/>
  <c r="R31" i="21"/>
  <c r="AZ31" i="11"/>
  <c r="AZ14" i="11"/>
  <c r="BJ23"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F32" i="21"/>
  <c r="Z32" i="11"/>
  <c r="W32" i="17"/>
  <c r="AV32" i="16"/>
  <c r="W32" i="11"/>
  <c r="W32" i="16"/>
  <c r="AM32" i="21"/>
  <c r="U32" i="21"/>
  <c r="AD32" i="16"/>
  <c r="S32" i="17"/>
  <c r="AV32" i="11"/>
  <c r="AG32" i="16"/>
  <c r="BH32" i="16"/>
  <c r="M32" i="11"/>
  <c r="F32" i="17"/>
  <c r="AW32" i="16"/>
  <c r="O32" i="16"/>
  <c r="AL32" i="16"/>
  <c r="BD32" i="16"/>
  <c r="J32" i="11"/>
  <c r="K32" i="16"/>
  <c r="AG32" i="21"/>
  <c r="BO32" i="16"/>
  <c r="AY32" i="11"/>
  <c r="N32" i="16"/>
  <c r="R32" i="16"/>
  <c r="AM32" i="11"/>
  <c r="Q32" i="17"/>
  <c r="J32" i="16"/>
  <c r="AN32" i="16"/>
  <c r="AE32" i="17"/>
  <c r="F32" i="16"/>
  <c r="AK32" i="11"/>
  <c r="E32" i="12"/>
  <c r="AS32" i="11"/>
  <c r="I32" i="17"/>
  <c r="AP32" i="17"/>
  <c r="BQ32" i="16"/>
  <c r="AT32" i="11"/>
  <c r="R32" i="11"/>
  <c r="H32" i="21"/>
  <c r="N32" i="11"/>
  <c r="BA32" i="16"/>
  <c r="R32" i="21"/>
  <c r="AO32" i="16"/>
  <c r="J32" i="12"/>
  <c r="AT32" i="17"/>
  <c r="AA32" i="16"/>
  <c r="AJ32" i="11"/>
  <c r="AJ32" i="17"/>
  <c r="AI32" i="11"/>
  <c r="V32" i="21"/>
  <c r="BG32" i="16"/>
  <c r="P32" i="16"/>
  <c r="AI32" i="21"/>
  <c r="T32" i="17"/>
  <c r="AZ32" i="11"/>
  <c r="G32" i="12"/>
  <c r="AJ32" i="21"/>
  <c r="AC32" i="16"/>
  <c r="AA32" i="21"/>
  <c r="AE32" i="16"/>
  <c r="AH32" i="16"/>
  <c r="E32" i="17"/>
  <c r="S32" i="11"/>
  <c r="BE32" i="21"/>
  <c r="BC32" i="16"/>
  <c r="AU32" i="21"/>
  <c r="AG32" i="17"/>
  <c r="AC32" i="17"/>
  <c r="AF32" i="16"/>
  <c r="BK32" i="16"/>
  <c r="P32" i="17"/>
  <c r="P32" i="2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<sst xmlns="http://schemas.openxmlformats.org/spreadsheetml/2006/main" count="2654" uniqueCount="1184">
  <si>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</si>
  <si>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</si>
  <si>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</si>
  <si>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</si>
  <si>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</si>
  <si>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</si>
  <si>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</si>
  <si>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</si>
  <si>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</si>
  <si>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</si>
  <si>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</si>
  <si>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</si>
  <si>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</si>
  <si>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</si>
  <si>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</si>
  <si>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</si>
  <si>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</si>
  <si>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</si>
  <si>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</si>
  <si>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</si>
  <si>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</si>
  <si>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</si>
  <si>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</si>
  <si>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</si>
  <si>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</si>
  <si>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</si>
  <si>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</si>
  <si>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</si>
  <si>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</si>
  <si>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</si>
  <si>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</si>
  <si>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</si>
  <si>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</si>
  <si>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</si>
  <si>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</si>
  <si>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</si>
  <si>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</si>
  <si>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</si>
  <si>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</si>
  <si>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</si>
  <si>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</si>
  <si>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</si>
  <si>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</si>
  <si>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</si>
  <si>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</si>
  <si>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</si>
  <si>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</si>
  <si>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</si>
  <si>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</si>
  <si>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</si>
  <si>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</si>
  <si>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</si>
  <si>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</si>
  <si>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</si>
  <si>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</si>
  <si>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</si>
  <si>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</si>
  <si>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</si>
  <si>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</si>
  <si>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</si>
  <si>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</si>
  <si>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</si>
  <si>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</si>
  <si>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</si>
  <si>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</si>
  <si>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</si>
  <si>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</si>
  <si>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</si>
  <si>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</si>
  <si>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</si>
  <si>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</si>
  <si>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</si>
  <si>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</si>
  <si>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</si>
  <si>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</si>
  <si>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</si>
  <si>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</si>
  <si>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</si>
  <si>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</si>
  <si>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</si>
  <si>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</si>
  <si>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</si>
  <si>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</si>
  <si>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</si>
  <si>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</si>
  <si>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</si>
  <si>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</si>
  <si>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</si>
  <si>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</si>
  <si>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</si>
  <si>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</si>
  <si>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</si>
  <si>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</si>
  <si>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</si>
  <si>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</si>
  <si>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</si>
  <si>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</si>
  <si>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</si>
  <si>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</si>
  <si>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</si>
  <si>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</si>
  <si>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</si>
  <si>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</si>
  <si>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</si>
  <si>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</si>
  <si>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</si>
  <si>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</si>
  <si>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</si>
  <si>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</si>
  <si>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</si>
  <si>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</si>
  <si>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</si>
  <si>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</si>
  <si>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</si>
  <si>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</si>
  <si>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</si>
  <si>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</si>
  <si>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</si>
  <si>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</si>
  <si>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</si>
  <si>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</si>
  <si>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</si>
  <si>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</si>
  <si>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</si>
  <si>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</si>
  <si>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</si>
  <si>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</si>
  <si>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</si>
  <si>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</si>
  <si>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</si>
  <si>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</si>
  <si>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</si>
  <si>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</si>
  <si>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</si>
  <si>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</si>
  <si>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</si>
  <si>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</si>
  <si>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</si>
  <si>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</si>
  <si>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</si>
  <si>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</si>
  <si>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</si>
  <si>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</si>
  <si>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</si>
  <si>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</si>
  <si>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</si>
  <si>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</si>
  <si>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</si>
  <si>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</si>
  <si>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</si>
  <si>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</si>
  <si>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</si>
  <si>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</si>
  <si>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</si>
  <si>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</si>
  <si>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</si>
  <si>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</si>
  <si>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</si>
  <si>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</si>
  <si>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</si>
  <si>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</si>
  <si>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</si>
  <si>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</si>
  <si>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</si>
  <si>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</si>
  <si>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</si>
  <si>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</si>
  <si>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</si>
  <si>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</si>
  <si>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</si>
  <si>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</si>
  <si>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</si>
  <si>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</si>
  <si>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</si>
  <si>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</si>
  <si>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</si>
  <si>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</si>
  <si>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</si>
  <si>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</si>
  <si>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</si>
  <si>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</si>
  <si>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</si>
  <si>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</si>
  <si>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</si>
  <si>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</si>
  <si>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</si>
  <si>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</si>
  <si>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</si>
  <si>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</si>
  <si>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</si>
  <si>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</si>
  <si>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</si>
  <si>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</si>
  <si>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</si>
  <si>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</si>
  <si>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</si>
  <si>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</si>
  <si>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</si>
  <si>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</si>
  <si>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</si>
  <si>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</si>
  <si>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</si>
  <si>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</si>
  <si>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</si>
  <si>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</si>
  <si>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</si>
  <si>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</si>
  <si>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</si>
  <si>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</si>
  <si>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</si>
  <si>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</si>
  <si>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</si>
  <si>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</si>
  <si>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</si>
  <si>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</si>
  <si>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</si>
  <si>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</si>
  <si>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</si>
  <si>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</si>
  <si>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</si>
  <si>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</si>
  <si>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</si>
  <si>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</si>
  <si>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</si>
  <si>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</si>
  <si>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</si>
  <si>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</si>
  <si>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</si>
  <si>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</si>
  <si>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</si>
  <si>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</si>
  <si>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</si>
  <si>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</si>
  <si>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</si>
  <si>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</si>
  <si>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</si>
  <si>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</si>
  <si>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</si>
  <si>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</si>
  <si>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</si>
  <si>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</si>
  <si>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</si>
  <si>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</si>
  <si>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</si>
  <si>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</si>
  <si>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</si>
  <si>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</si>
  <si>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</si>
  <si>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</si>
  <si>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</si>
  <si>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</si>
  <si>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</si>
  <si>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</si>
  <si>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</si>
  <si>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</si>
  <si>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</si>
  <si>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</si>
  <si>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</si>
  <si>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</si>
  <si>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</si>
  <si>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</si>
  <si>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</si>
  <si>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</si>
  <si>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</si>
  <si>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</si>
  <si>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</si>
  <si>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</si>
  <si>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</si>
  <si>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</si>
  <si>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</si>
  <si>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</si>
  <si>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</si>
  <si>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</si>
  <si>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</si>
  <si>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</si>
  <si>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</si>
  <si>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</si>
  <si>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</si>
  <si>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</si>
  <si>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</si>
  <si>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</si>
  <si>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</si>
  <si>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</si>
  <si>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</si>
  <si>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</si>
  <si>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</si>
  <si>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</si>
  <si>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</si>
  <si>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</si>
  <si>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</si>
  <si>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</si>
  <si>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</si>
  <si>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</si>
  <si>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</si>
  <si>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</si>
  <si>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</si>
  <si>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</si>
  <si>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</si>
  <si>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</si>
  <si>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</si>
  <si>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</si>
  <si>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</si>
  <si>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</si>
  <si>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</si>
  <si>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</si>
  <si>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</si>
  <si>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</si>
  <si>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</si>
  <si>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</si>
  <si>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</si>
  <si>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</si>
  <si>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</si>
  <si>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</si>
  <si>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</si>
  <si>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</si>
  <si>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</si>
  <si>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</si>
  <si>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</si>
  <si>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</si>
  <si>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</si>
  <si>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</si>
  <si>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</si>
  <si>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</si>
  <si>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</si>
  <si>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</si>
  <si>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</si>
  <si>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</si>
  <si>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</si>
  <si>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</si>
  <si>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</si>
  <si>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</si>
  <si>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</si>
  <si>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</si>
  <si>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</si>
  <si>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</si>
  <si>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</si>
  <si>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</si>
  <si>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</si>
  <si>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</si>
  <si>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</si>
  <si>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</si>
  <si>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</si>
  <si>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</si>
  <si>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</si>
  <si>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</si>
  <si>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</si>
  <si>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</si>
  <si>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</si>
  <si>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</si>
  <si>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</si>
  <si>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</si>
  <si>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</si>
  <si>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</si>
  <si>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</si>
  <si>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</si>
  <si>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</si>
  <si>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</si>
  <si>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</si>
  <si>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</si>
  <si>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</si>
  <si>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</si>
  <si>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</si>
  <si>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</si>
  <si>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</si>
  <si>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</si>
  <si>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</si>
  <si>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</si>
  <si>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</si>
  <si>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</si>
  <si>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</si>
  <si>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</si>
  <si>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</si>
  <si>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</si>
  <si>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</si>
  <si>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</si>
  <si>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</si>
  <si>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</si>
  <si>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</si>
  <si>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</si>
  <si>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</si>
  <si>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</si>
  <si>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</si>
  <si>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</si>
  <si>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</si>
  <si>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</si>
  <si>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</si>
  <si>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</si>
  <si>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</si>
  <si>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</si>
  <si>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</si>
  <si>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</si>
  <si>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</si>
  <si>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</si>
  <si>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</si>
  <si>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</si>
  <si>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</si>
  <si>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</si>
  <si>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</si>
  <si>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</si>
  <si>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</si>
  <si>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</si>
  <si>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</si>
  <si>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</si>
  <si>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</si>
  <si>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</si>
  <si>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</si>
  <si>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</si>
  <si>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</si>
  <si>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</si>
  <si>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</si>
  <si>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</si>
  <si>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</si>
  <si>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</si>
  <si>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</si>
  <si>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</si>
  <si>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</si>
  <si>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</si>
  <si>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</si>
  <si>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</si>
  <si>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</si>
  <si>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</si>
  <si>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</si>
  <si>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</si>
  <si>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</si>
  <si>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</si>
  <si>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</si>
  <si>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</si>
  <si>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</si>
  <si>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</si>
  <si>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</si>
  <si>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</si>
  <si>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</si>
  <si>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</si>
  <si>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</si>
  <si>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</si>
  <si>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</si>
  <si>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</si>
  <si>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</si>
  <si>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</si>
  <si>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</si>
  <si>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</si>
  <si>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</si>
  <si>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</si>
  <si>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</si>
  <si>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</si>
  <si>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</si>
  <si>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</si>
  <si>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</si>
  <si>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</si>
  <si>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</si>
  <si>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</si>
  <si>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</si>
  <si>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</si>
  <si>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</si>
  <si>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</si>
  <si>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</si>
  <si>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</si>
  <si>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</si>
  <si>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</si>
  <si>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</si>
  <si>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</si>
  <si>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</si>
  <si>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</si>
  <si>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</si>
  <si>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</si>
  <si>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</si>
  <si>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</si>
  <si>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</si>
  <si>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</si>
  <si>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</si>
  <si>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</si>
  <si>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</si>
  <si>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</si>
  <si>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</si>
  <si>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</si>
  <si>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</si>
  <si>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</si>
  <si>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</si>
  <si>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</si>
  <si>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</si>
  <si>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</si>
  <si>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</si>
  <si>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</si>
  <si>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</si>
  <si>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</si>
  <si>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</si>
  <si>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</si>
  <si>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</si>
  <si>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</si>
  <si>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</si>
  <si>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</si>
  <si>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</si>
  <si>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</si>
  <si>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</si>
  <si>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</si>
  <si>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</si>
  <si>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</si>
  <si>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</si>
  <si>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</si>
  <si>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</si>
  <si>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</si>
  <si>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</si>
  <si>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</si>
  <si>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</si>
  <si>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</si>
  <si>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</si>
  <si>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</si>
  <si>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</si>
  <si>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</si>
  <si>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</si>
  <si>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</si>
  <si>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</si>
  <si>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</si>
  <si>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</si>
  <si>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</si>
  <si>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</si>
  <si>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</si>
  <si>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</si>
  <si>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</si>
  <si>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</si>
  <si>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</si>
  <si>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</si>
  <si>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</si>
  <si>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</si>
  <si>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</si>
  <si>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</si>
  <si>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</si>
  <si>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</si>
  <si>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</si>
  <si>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</si>
  <si>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</si>
  <si>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</si>
  <si>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</si>
  <si>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</si>
  <si>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</si>
  <si>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</si>
  <si>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</si>
  <si>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</si>
  <si>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</si>
  <si>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</si>
  <si>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</si>
  <si>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</si>
  <si>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</si>
  <si>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</si>
  <si>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</si>
  <si>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</si>
  <si>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</si>
  <si>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</si>
  <si>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</si>
  <si>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</si>
  <si>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</si>
  <si>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</si>
  <si>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</si>
  <si>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</si>
  <si>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</si>
  <si>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</si>
  <si>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</si>
  <si>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</si>
  <si>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</si>
  <si>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</si>
  <si>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</si>
  <si>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</si>
  <si>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</si>
  <si>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</si>
  <si>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</si>
  <si>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</si>
  <si>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</si>
  <si>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</si>
  <si>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</si>
  <si>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</si>
  <si>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</si>
  <si>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</si>
  <si>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</si>
  <si>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</si>
  <si>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</si>
  <si>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</si>
  <si>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</si>
  <si>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</si>
  <si>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</si>
  <si>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</si>
  <si>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</si>
  <si>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</si>
  <si>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</si>
  <si>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</si>
  <si>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</si>
  <si>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</si>
  <si>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</si>
  <si>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</si>
  <si>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</si>
  <si>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</si>
  <si>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</si>
  <si>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</si>
  <si>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</si>
  <si>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</si>
  <si>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</si>
  <si>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</si>
  <si>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</si>
  <si>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</si>
  <si>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</si>
  <si>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</si>
  <si>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</si>
  <si>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</si>
  <si>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</si>
  <si>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</si>
  <si>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</si>
  <si>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</si>
  <si>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</si>
  <si>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</si>
  <si>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</si>
  <si>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</si>
  <si>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</si>
  <si>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</si>
  <si>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</si>
  <si>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</si>
  <si>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</si>
  <si>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</si>
  <si>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</si>
  <si>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</si>
  <si>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</si>
  <si>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</si>
  <si>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</si>
  <si>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</si>
  <si>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</si>
  <si>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</si>
  <si>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</si>
  <si>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</si>
  <si>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</si>
  <si>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</si>
  <si>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</si>
  <si>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</si>
  <si>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</si>
  <si>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</si>
  <si>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</si>
  <si>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</si>
  <si>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</si>
  <si>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</si>
  <si>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</si>
  <si>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</si>
  <si>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</si>
  <si>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</si>
  <si>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</si>
  <si>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</si>
  <si>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</si>
  <si>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</si>
  <si>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TPROC224+TPROC324+PIESE224</t>
  </si>
  <si>
    <t>TSEJU224+TSEJU424</t>
  </si>
  <si>
    <t>SENPT313+SENFT313+SENCOV13+SENCON13</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</si>
  <si>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</si>
  <si>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</si>
  <si>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</si>
  <si>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</si>
  <si>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</si>
  <si>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</si>
  <si>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</si>
  <si>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</si>
  <si>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</si>
  <si>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</si>
  <si>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</si>
  <si>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</si>
  <si>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</si>
  <si>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</si>
  <si>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</si>
  <si>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</si>
  <si>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</si>
  <si>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</si>
  <si>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</si>
  <si>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</si>
  <si>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</si>
  <si>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</si>
  <si>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</si>
  <si>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</si>
  <si>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</si>
  <si>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</si>
  <si>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</si>
  <si>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</si>
  <si>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</si>
  <si>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</si>
  <si>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</si>
  <si>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</si>
  <si>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</si>
  <si>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</si>
  <si>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</si>
  <si>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</si>
  <si>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</si>
  <si>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</si>
  <si>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</si>
  <si>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</si>
  <si>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</si>
  <si>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</si>
  <si>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</si>
  <si>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</si>
  <si>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</si>
  <si>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</si>
  <si>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</si>
  <si>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</si>
  <si>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</si>
  <si>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</si>
  <si>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</si>
  <si>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</si>
  <si>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</si>
  <si>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</si>
  <si>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</si>
  <si>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</si>
  <si>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</si>
  <si>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</si>
  <si>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</si>
  <si>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</si>
  <si>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</si>
  <si>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</si>
  <si>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</si>
  <si>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</si>
  <si>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</si>
  <si>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</si>
  <si>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</si>
  <si>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</si>
  <si>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</si>
  <si>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</si>
  <si>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</si>
  <si>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</si>
  <si>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</si>
  <si>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</si>
  <si>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</si>
  <si>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</si>
  <si>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</si>
  <si>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</si>
  <si>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</si>
  <si>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</si>
  <si>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</si>
  <si>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</si>
  <si>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</si>
  <si>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</si>
  <si>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</si>
  <si>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</si>
  <si>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</si>
  <si>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</si>
  <si>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</si>
  <si>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</si>
  <si>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</si>
  <si>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</si>
  <si>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</si>
  <si>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</si>
  <si>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</si>
  <si>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</si>
  <si>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</si>
  <si>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</si>
  <si>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</si>
  <si>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</si>
  <si>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</si>
  <si>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</si>
  <si>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</si>
  <si>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</si>
  <si>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</si>
  <si>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</si>
  <si>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</si>
  <si>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</si>
  <si>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</si>
  <si>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</si>
  <si>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</si>
  <si>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</si>
  <si>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</si>
  <si>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</si>
  <si>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</si>
  <si>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</si>
  <si>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</si>
  <si>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</si>
  <si>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</si>
  <si>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</si>
  <si>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</si>
  <si>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</si>
  <si>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</si>
  <si>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</si>
  <si>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</si>
  <si>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</si>
  <si>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</si>
  <si>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</si>
  <si>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</si>
  <si>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</si>
  <si>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</si>
  <si>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</si>
  <si>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</si>
  <si>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</si>
  <si>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</si>
  <si>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</si>
  <si>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</si>
  <si>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</si>
  <si>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</si>
  <si>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</si>
  <si>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</si>
  <si>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</si>
  <si>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</si>
  <si>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</si>
  <si>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</si>
  <si>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</si>
  <si>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</si>
  <si>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</si>
  <si>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</si>
  <si>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</si>
  <si>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</si>
  <si>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</si>
  <si>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</si>
  <si>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</si>
  <si>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</si>
  <si>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</si>
  <si>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</si>
  <si>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</si>
  <si>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</si>
  <si>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</si>
  <si>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</si>
  <si>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</si>
  <si>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</si>
  <si>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</si>
  <si>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</si>
  <si>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</si>
  <si>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</si>
  <si>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</si>
  <si>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</si>
  <si>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</si>
  <si>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</si>
  <si>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</si>
  <si>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</si>
  <si>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</si>
  <si>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</si>
  <si>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</si>
  <si>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</si>
  <si>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</si>
  <si>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</si>
  <si>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</si>
  <si>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</si>
  <si>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</si>
  <si>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</si>
  <si>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</si>
  <si>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</si>
  <si>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</si>
  <si>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</si>
  <si>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</si>
  <si>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</si>
  <si>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</si>
  <si>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</si>
  <si>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</si>
  <si>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</si>
  <si>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</si>
  <si>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</si>
  <si>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</si>
  <si>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</si>
  <si>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</si>
  <si>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</si>
  <si>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</si>
  <si>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</si>
  <si>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</si>
  <si>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</si>
  <si>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</si>
  <si>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</si>
  <si>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</si>
  <si>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</si>
  <si>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</si>
  <si>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</si>
  <si>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</si>
  <si>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</si>
  <si>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</si>
  <si>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</si>
  <si>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</si>
  <si>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</si>
  <si>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</si>
  <si>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</si>
  <si>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</si>
  <si>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</si>
  <si>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</si>
  <si>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</si>
  <si>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</si>
  <si>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</si>
  <si>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</si>
  <si>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</si>
  <si>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</si>
  <si>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</si>
  <si>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</si>
  <si>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</si>
  <si>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</si>
  <si>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</si>
  <si>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</si>
  <si>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</si>
  <si>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</si>
  <si>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</si>
  <si>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</si>
  <si>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</si>
  <si>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</si>
  <si>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</si>
  <si>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</si>
  <si>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</si>
  <si>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</si>
  <si>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</si>
  <si>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</si>
  <si>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</si>
  <si>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</si>
  <si>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</si>
  <si>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</si>
  <si>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</si>
  <si>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</si>
  <si>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</si>
  <si>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</si>
  <si>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</si>
  <si>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</si>
  <si>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</si>
  <si>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</si>
  <si>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</si>
  <si>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</si>
  <si>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</si>
  <si>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</si>
  <si>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</si>
  <si>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</si>
  <si>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</si>
  <si>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</si>
  <si>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</si>
  <si>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</si>
  <si>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</si>
  <si>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</si>
  <si>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</si>
  <si>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</si>
  <si>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</si>
  <si>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</si>
  <si>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</si>
  <si>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</si>
  <si>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</si>
  <si>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</si>
  <si>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</si>
  <si>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</si>
  <si>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</si>
  <si>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</si>
  <si>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</si>
  <si>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</si>
  <si>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</si>
  <si>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</si>
  <si>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</si>
  <si>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</si>
  <si>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</si>
  <si>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</si>
  <si>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</si>
  <si>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</si>
  <si>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</si>
  <si>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</si>
  <si>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</si>
  <si>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</si>
  <si>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</si>
  <si>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</si>
  <si>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</si>
  <si>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</si>
  <si>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</si>
  <si>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</si>
  <si>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</si>
  <si>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</si>
  <si>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</si>
  <si>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</si>
  <si>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</si>
  <si>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</si>
  <si>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</si>
  <si>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</si>
  <si>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</si>
  <si>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</si>
  <si>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</si>
  <si>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</si>
  <si>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</si>
  <si>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</si>
  <si>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</si>
  <si>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</si>
  <si>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</si>
  <si>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</si>
  <si>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</si>
  <si>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</si>
  <si>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</si>
  <si>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</si>
  <si>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</si>
  <si>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</si>
  <si>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</si>
  <si>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</si>
  <si>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</si>
  <si>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</si>
  <si>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</si>
  <si>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</si>
  <si>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</si>
  <si>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</si>
  <si>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</si>
  <si>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</si>
  <si>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</si>
  <si>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</si>
  <si>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</si>
  <si>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</si>
  <si>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</si>
  <si>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</si>
  <si>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</si>
  <si>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</si>
  <si>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</si>
  <si>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</si>
  <si>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</si>
  <si>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</si>
  <si>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</si>
  <si>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</si>
  <si>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</si>
  <si>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</si>
  <si>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</si>
  <si>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</si>
  <si>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</si>
  <si>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</si>
  <si>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</si>
  <si>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</si>
  <si>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</si>
  <si>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</si>
  <si>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</si>
  <si>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</si>
  <si>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</si>
  <si>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</si>
  <si>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</si>
  <si>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</si>
  <si>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</si>
  <si>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</si>
  <si>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</si>
  <si>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</si>
  <si>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</si>
  <si>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</si>
  <si>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</si>
  <si>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</si>
  <si>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</si>
  <si>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</si>
  <si>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</si>
  <si>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</si>
  <si>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</si>
  <si>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</si>
  <si>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</si>
  <si>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</si>
  <si>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</si>
  <si>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</si>
  <si>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</si>
  <si>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</si>
  <si>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</si>
  <si>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</si>
  <si>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</si>
  <si>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</si>
  <si>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</si>
  <si>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</si>
  <si>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</si>
  <si>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</si>
  <si>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</si>
  <si>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</si>
  <si>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</si>
  <si>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</si>
  <si>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</si>
  <si>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</si>
  <si>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</si>
  <si>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</si>
  <si>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</si>
  <si>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</si>
  <si>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</si>
  <si>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</si>
  <si>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</si>
  <si>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</si>
  <si>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</si>
  <si>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</si>
  <si>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</si>
  <si>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</si>
  <si>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</si>
  <si>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</si>
  <si>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</si>
  <si>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</si>
  <si>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</si>
  <si>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</si>
  <si>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</si>
  <si>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</si>
  <si>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</si>
  <si>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</si>
  <si>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</si>
  <si>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</si>
  <si>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</si>
  <si>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</si>
  <si>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</si>
  <si>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</si>
  <si>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</si>
  <si>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</si>
  <si>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</si>
  <si>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</si>
  <si>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</si>
  <si>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</si>
  <si>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</si>
  <si>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</si>
  <si>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</si>
  <si>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</si>
  <si>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</si>
  <si>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</si>
  <si>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</si>
  <si>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</si>
  <si>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</si>
  <si>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</si>
  <si>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</si>
  <si>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</si>
  <si>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</si>
  <si>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</si>
  <si>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</si>
  <si>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</si>
  <si>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</si>
  <si>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</si>
  <si>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</si>
  <si>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</si>
  <si>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</si>
  <si>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</si>
  <si>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</si>
  <si>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</si>
  <si>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</si>
  <si>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</si>
  <si>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</si>
  <si>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</si>
  <si>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</si>
  <si>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</si>
  <si>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</si>
  <si>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</si>
  <si>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</si>
  <si>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</si>
  <si>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</si>
  <si>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</si>
  <si>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</si>
  <si>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</si>
  <si>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</si>
  <si>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</si>
  <si>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</si>
  <si>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</si>
  <si>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</si>
  <si>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</si>
  <si>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</si>
  <si>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</si>
  <si>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</si>
  <si>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</si>
  <si>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</si>
  <si>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</si>
  <si>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</si>
  <si>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</si>
  <si>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</si>
  <si>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</si>
  <si>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</si>
  <si>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</si>
  <si>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</si>
  <si>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</si>
  <si>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</si>
  <si>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</si>
  <si>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</si>
  <si>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</si>
  <si>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</si>
  <si>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</si>
  <si>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</si>
  <si>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</si>
  <si>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</si>
  <si>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</si>
  <si>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</si>
  <si>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</si>
  <si>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</si>
  <si>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</si>
  <si>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</si>
  <si>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</si>
  <si>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</si>
  <si>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</si>
  <si>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</si>
  <si>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</si>
  <si>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</si>
  <si>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</si>
  <si>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</si>
  <si>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</si>
  <si>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</si>
  <si>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</si>
  <si>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</si>
  <si>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</si>
  <si>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</si>
  <si>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</si>
  <si>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</si>
  <si>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</si>
  <si>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</si>
  <si>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</si>
  <si>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</si>
  <si>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</si>
  <si>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</si>
  <si>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</si>
  <si>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</si>
  <si>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</si>
  <si>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</si>
  <si>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</si>
  <si>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</si>
  <si>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GALICIA</t>
  </si>
  <si>
    <t>Provincias</t>
  </si>
  <si>
    <t>OURENSE</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</si>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</sst>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1178</v>
      </c>
      <c r="B4" s="412"/>
      <c r="C4" s="412"/>
      <c r="D4" s="412"/>
      <c r="E4" s="412"/>
      <c r="F4" s="2"/>
      <c r="Q4" s="391">
        <v>2</v>
      </c>
      <c r="R4" s="391">
        <v>3</v>
      </c>
      <c r="S4" t="b">
        <f>AND(Q4&gt;=TrimIni,Q4&lt;=TrimFin)</f>
        <v>1</v>
      </c>
    </row>
    <row r="5" spans="1:19" ht="15.75" thickBot="1">
      <c r="A5" s="414" t="s">
        <v>55</v>
      </c>
      <c r="B5" s="415">
        <v>2022</v>
      </c>
      <c r="C5" s="416" t="s">
        <v>277</v>
      </c>
      <c r="D5" s="417">
        <v>2</v>
      </c>
      <c r="E5" s="418"/>
      <c r="F5" s="3"/>
      <c r="H5" t="s">
        <v>546</v>
      </c>
      <c r="Q5" s="391">
        <v>3</v>
      </c>
      <c r="R5" s="391">
        <v>2</v>
      </c>
      <c r="S5" t="b">
        <f>AND(Q5&gt;=TrimIni,Q5&lt;=TrimFin)</f>
        <v>0</v>
      </c>
    </row>
    <row r="6" spans="1:19" ht="15">
      <c r="A6" s="419"/>
      <c r="B6" s="418"/>
      <c r="C6" s="416" t="s">
        <v>278</v>
      </c>
      <c r="D6" s="417">
        <v>2</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1179</v>
      </c>
      <c r="B9" s="421" t="s">
        <v>1180</v>
      </c>
      <c r="C9" s="418"/>
      <c r="D9" s="418"/>
      <c r="E9" s="427"/>
      <c r="F9" s="3"/>
    </row>
    <row r="10" spans="1:19">
      <c r="A10" s="426" t="s">
        <v>1181</v>
      </c>
      <c r="B10" s="418" t="s">
        <v>1182</v>
      </c>
      <c r="C10" s="418"/>
      <c r="D10" s="418"/>
      <c r="E10" s="427"/>
      <c r="F10" s="3"/>
      <c r="Q10" s="391">
        <v>0</v>
      </c>
    </row>
    <row r="11" spans="1:19" ht="13.5" thickBot="1">
      <c r="A11" s="428" t="s">
        <v>1183</v>
      </c>
      <c r="B11" s="429" t="s">
        <v>1182</v>
      </c>
      <c r="C11" s="429"/>
      <c r="D11" s="429"/>
      <c r="E11" s="430"/>
      <c r="F11" s="3"/>
    </row>
    <row r="12" spans="1:19" ht="40.5" customHeight="1" thickBot="1">
      <c r="A12" s="420"/>
      <c r="B12" s="418"/>
      <c r="C12" s="418"/>
      <c r="D12" s="418"/>
      <c r="E12" s="418"/>
      <c r="F12" s="3"/>
      <c r="Q12" s="1471"/>
    </row>
    <row r="13" spans="1:19" ht="15">
      <c r="A13" s="431" t="s">
        <v>168</v>
      </c>
      <c r="B13" s="432" t="s">
        <v>87</v>
      </c>
      <c r="C13" s="1079" t="s">
        <v>933</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sGChhAKISTEW4J6jfokR/19w/E90rIKdqgxRElwcdf+NboRt3R02O2+hA4vBlsmcyeJ37x3ka24cnZGsjoV69g==" saltValue="10ughXf+I3QCDBJehEo1e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GALICIA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2 al 2</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1096</v>
      </c>
      <c r="T7" s="1523" t="s">
        <v>1097</v>
      </c>
      <c r="U7" s="1523" t="s">
        <v>1098</v>
      </c>
      <c r="V7" s="1523" t="s">
        <v>1099</v>
      </c>
      <c r="W7" s="1455" t="s">
        <v>594</v>
      </c>
      <c r="X7" s="1549" t="s">
        <v>1121</v>
      </c>
      <c r="Y7" s="1549" t="s">
        <v>1122</v>
      </c>
      <c r="Z7" s="1550" t="s">
        <v>1123</v>
      </c>
      <c r="AA7" s="1458" t="s">
        <v>594</v>
      </c>
      <c r="AB7" s="1547" t="s">
        <v>595</v>
      </c>
      <c r="AC7" s="1547" t="s">
        <v>1124</v>
      </c>
      <c r="AD7" s="1548" t="s">
        <v>1125</v>
      </c>
      <c r="AE7" s="1459" t="s">
        <v>1094</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6</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f>IF(ISNUMBER(NºAsuntos!I9/NºAsuntos!G9),(NºAsuntos!I9/NºAsuntos!G9)*11," - ")</f>
        <v>13.864130434782609</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78</v>
      </c>
      <c r="D10" s="239">
        <f>IF(ISNUMBER(Datos!I10),Datos!I10," - ")</f>
        <v>78</v>
      </c>
      <c r="E10" s="240">
        <f>IF(ISNUMBER(Datos!J10),Datos!J10," - ")</f>
        <v>21</v>
      </c>
      <c r="F10" s="240">
        <f>IF(ISNUMBER(Datos!K10),Datos!K10," - ")</f>
        <v>24</v>
      </c>
      <c r="G10" s="1390" t="str">
        <f>IF(Datos!E10&lt;&gt;"",Datos!E10,Datos!D10)</f>
        <v>37</v>
      </c>
      <c r="H10" s="241">
        <f>IF(ISNUMBER(Datos!L10),Datos!L10," - ")</f>
        <v>75</v>
      </c>
      <c r="I10" s="1400" t="str">
        <f>IF(ISNUMBER(Datos!AS10/Datos!BM10),Datos!AS10/Datos!BM10," - ")</f>
        <v xml:space="preserve"> - </v>
      </c>
      <c r="J10" s="1401">
        <f>IF(ISNUMBER(Datos!BY10/Datos!CN10),Datos!BY10/Datos!CN10," - ")</f>
        <v>0</v>
      </c>
      <c r="K10" s="244">
        <f t="shared" ref="K10:K13" si="1">IF(ISNUMBER((E10-F10)/C10),(E10-F10)/C10," - ")</f>
        <v>-3.8461538461538464E-2</v>
      </c>
      <c r="L10" s="1402">
        <f>IF(ISNUMBER(NºAsuntos!I10/NºAsuntos!G10),(NºAsuntos!I10/NºAsuntos!G10)*11," - ")</f>
        <v>34.375</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1</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f>IF(ISNUMBER(NºAsuntos!I11/NºAsuntos!G11),(NºAsuntos!I11/NºAsuntos!G11)*11," - ")</f>
        <v>14.219966159052454</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0</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t="str">
        <f>IF(ISNUMBER(NºAsuntos!I12/NºAsuntos!G12),(NºAsuntos!I12/NºAsuntos!G12)*11," - ")</f>
        <v xml:space="preserve"> - </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78</v>
      </c>
      <c r="D14" s="1407">
        <f>SUBTOTAL(9,D9:D13)</f>
        <v>78</v>
      </c>
      <c r="E14" s="1408">
        <f>SUBTOTAL(9,E9:E13)</f>
        <v>21</v>
      </c>
      <c r="F14" s="1409">
        <f>SUBTOTAL(9,F9:F13)</f>
        <v>24</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3</v>
      </c>
      <c r="B16" s="1461" t="str">
        <f>Datos!A16</f>
        <v xml:space="preserve">Jdos. Instrucción                               </v>
      </c>
      <c r="C16" s="239">
        <f t="shared" ref="C16:C22" si="2">IF(ISNUMBER(H16-E16+F16),H16-E16+F16," - ")</f>
        <v>1091</v>
      </c>
      <c r="D16" s="239">
        <f>IF(ISNUMBER(IF(D_I="SI",Datos!I16,Datos!I16+Datos!AC16)),IF(D_I="SI",Datos!I16,Datos!I16+Datos!AC16)," - ")</f>
        <v>1044</v>
      </c>
      <c r="E16" s="240">
        <f>IF(ISNUMBER(IF(D_I="SI",Datos!J16,Datos!J16+Datos!AD16)),IF(D_I="SI",Datos!J16,Datos!J16+Datos!AD16)," - ")</f>
        <v>1416</v>
      </c>
      <c r="F16" s="240">
        <f>IF(ISNUMBER(IF(D_I="SI",Datos!K16,Datos!K16+Datos!AE16)),IF(D_I="SI",Datos!K16,Datos!K16+Datos!AE16)," - ")</f>
        <v>1454</v>
      </c>
      <c r="G16" s="1390" t="str">
        <f>IF(Datos!E16&lt;&gt;"",Datos!E16,Datos!D16)</f>
        <v>03</v>
      </c>
      <c r="H16" s="241">
        <f>IF(ISNUMBER(IF(D_I="SI",Datos!L16,Datos!L16+Datos!AF16)),IF(D_I="SI",Datos!L16,Datos!L16+Datos!AF16)," - ")</f>
        <v>1053</v>
      </c>
      <c r="I16" s="1400" t="str">
        <f>IF(ISNUMBER(Datos!AS16/Datos!BM16),Datos!AS16/Datos!BM16," - ")</f>
        <v xml:space="preserve"> - </v>
      </c>
      <c r="J16" s="1401">
        <f>IF(ISNUMBER(Datos!BY16/Datos!CN16),Datos!BY16/Datos!CN16," - ")</f>
        <v>0</v>
      </c>
      <c r="K16" s="244">
        <f t="shared" ref="K16:K22" si="3">IF(ISNUMBER((E16-F16)/C16),(E16-F16)/C16," - ")</f>
        <v>-3.4830430797433545E-2</v>
      </c>
      <c r="L16" s="1402">
        <f>IF(ISNUMBER(NºAsuntos!I16/NºAsuntos!G16),(NºAsuntos!I16/NºAsuntos!G16)*11," - ")</f>
        <v>7.9662998624484178</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0</v>
      </c>
      <c r="B17" s="1461" t="str">
        <f>Datos!A17</f>
        <v xml:space="preserve">Jdos. 1ª Instª. e Instr.                        </v>
      </c>
      <c r="C17" s="239">
        <f t="shared" si="2"/>
        <v>1</v>
      </c>
      <c r="D17" s="239">
        <f>IF(ISNUMBER(IF(D_I="SI",Datos!I17,Datos!I17+Datos!AC17)),IF(D_I="SI",Datos!I17,Datos!I17+Datos!AC17)," - ")</f>
        <v>1</v>
      </c>
      <c r="E17" s="240">
        <f>IF(ISNUMBER(IF(D_I="SI",Datos!J17,Datos!J17+Datos!AD17)),IF(D_I="SI",Datos!J17,Datos!J17+Datos!AD17)," - ")</f>
        <v>0</v>
      </c>
      <c r="F17" s="240">
        <f>IF(ISNUMBER(IF(D_I="SI",Datos!K17,Datos!K17+Datos!AE17)),IF(D_I="SI",Datos!K17,Datos!K17+Datos!AE17)," - ")</f>
        <v>0</v>
      </c>
      <c r="G17" s="1390" t="str">
        <f>IF(Datos!E17&lt;&gt;"",Datos!E17,Datos!D17)</f>
        <v>04</v>
      </c>
      <c r="H17" s="241">
        <f>IF(ISNUMBER(IF(D_I="SI",Datos!L17,Datos!L17+Datos!AF17)),IF(D_I="SI",Datos!L17,Datos!L17+Datos!AF17)," - ")</f>
        <v>1</v>
      </c>
      <c r="I17" s="1400" t="str">
        <f>IF(ISNUMBER(Datos!AS17/Datos!BM17),Datos!AS17/Datos!BM17," - ")</f>
        <v xml:space="preserve"> - </v>
      </c>
      <c r="J17" s="1401">
        <f>IF(ISNUMBER(Datos!BY17/Datos!CN17),Datos!BY17/Datos!CN17," - ")</f>
        <v>0</v>
      </c>
      <c r="K17" s="244">
        <f t="shared" si="3"/>
        <v>0</v>
      </c>
      <c r="L17" s="1402" t="str">
        <f>IF(ISNUMBER(NºAsuntos!I17/NºAsuntos!G17),(NºAsuntos!I17/NºAsuntos!G17)*11," - ")</f>
        <v xml:space="preserve"> - </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199</v>
      </c>
      <c r="D18" s="239">
        <f>IF(ISNUMBER(IF(D_I="SI",Datos!I18,Datos!I18+Datos!AC18)),IF(D_I="SI",Datos!I18,Datos!I18+Datos!AC18)," - ")</f>
        <v>199</v>
      </c>
      <c r="E18" s="240">
        <f>IF(ISNUMBER(IF(D_I="SI",Datos!J18,Datos!J18+Datos!AD18)),IF(D_I="SI",Datos!J18,Datos!J18+Datos!AD18)," - ")</f>
        <v>294</v>
      </c>
      <c r="F18" s="240">
        <f>IF(ISNUMBER(IF(D_I="SI",Datos!K18,Datos!K18+Datos!AE18)),IF(D_I="SI",Datos!K18,Datos!K18+Datos!AE18)," - ")</f>
        <v>275</v>
      </c>
      <c r="G18" s="1390" t="str">
        <f>IF(Datos!E18&lt;&gt;"",Datos!E18,Datos!D18)</f>
        <v>37</v>
      </c>
      <c r="H18" s="241">
        <f>IF(ISNUMBER(IF(D_I="SI",Datos!L18,Datos!L18+Datos!AF18)),IF(D_I="SI",Datos!L18,Datos!L18+Datos!AF18)," - ")</f>
        <v>218</v>
      </c>
      <c r="I18" s="1400" t="str">
        <f>IF(ISNUMBER(Datos!AS18/Datos!BM18),Datos!AS18/Datos!BM18," - ")</f>
        <v xml:space="preserve"> - </v>
      </c>
      <c r="J18" s="1401" t="str">
        <f>IF(ISNUMBER((Datos!BY18+Datos!BZ18)/Datos!CN18),(Datos!BY18+Datos!BZ18)/Datos!CN18," - ")</f>
        <v xml:space="preserve"> - </v>
      </c>
      <c r="K18" s="244">
        <f t="shared" si="3"/>
        <v>9.5477386934673364E-2</v>
      </c>
      <c r="L18" s="1402">
        <f>IF(ISNUMBER(NºAsuntos!I18/NºAsuntos!G18),(NºAsuntos!I18/NºAsuntos!G18)*11," - ")</f>
        <v>8.7200000000000006</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1291</v>
      </c>
      <c r="D23" s="1407">
        <f>SUBTOTAL(9,D16:D22)</f>
        <v>1244</v>
      </c>
      <c r="E23" s="1408">
        <f>SUBTOTAL(9,E16:E22)</f>
        <v>1710</v>
      </c>
      <c r="F23" s="1408">
        <f>SUBTOTAL(9,F16:F22)</f>
        <v>1729</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1369</v>
      </c>
      <c r="D31" s="1435">
        <f>SUBTOTAL(9,D9:D30)</f>
        <v>1322</v>
      </c>
      <c r="E31" s="1436">
        <f>SUBTOTAL(9,E9:E30)</f>
        <v>1731</v>
      </c>
      <c r="F31" s="1436">
        <f>SUBTOTAL(9,F9:F30)</f>
        <v>1753</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834</v>
      </c>
      <c r="O37" s="1744"/>
      <c r="P37" s="1744"/>
      <c r="Q37" s="1744"/>
      <c r="R37" s="1744"/>
      <c r="S37" s="1744"/>
      <c r="T37" s="1744"/>
      <c r="U37" s="1744"/>
      <c r="V37" s="1744"/>
      <c r="W37" s="1744"/>
      <c r="Y37" s="1744" t="s">
        <v>835</v>
      </c>
      <c r="Z37" s="1744"/>
      <c r="AA37" s="1744"/>
      <c r="AB37" s="1744"/>
      <c r="AC37" s="1744"/>
    </row>
    <row r="39" spans="2:29">
      <c r="N39" s="1386" t="s">
        <v>836</v>
      </c>
      <c r="O39" s="1745" t="s">
        <v>837</v>
      </c>
      <c r="P39" s="1745"/>
      <c r="Q39" s="1745"/>
      <c r="R39" s="1745"/>
      <c r="S39" s="1745"/>
      <c r="T39" s="1745"/>
      <c r="U39" s="1745"/>
      <c r="V39" s="1745"/>
      <c r="W39" s="1745"/>
      <c r="Y39" s="1386" t="s">
        <v>836</v>
      </c>
      <c r="Z39" s="1746" t="s">
        <v>838</v>
      </c>
      <c r="AA39" s="1746"/>
      <c r="AB39" s="1746"/>
      <c r="AC39" s="1746"/>
    </row>
    <row r="40" spans="2:29">
      <c r="N40" s="1386" t="s">
        <v>839</v>
      </c>
      <c r="O40" s="1745" t="s">
        <v>840</v>
      </c>
      <c r="P40" s="1745"/>
      <c r="Q40" s="1745"/>
      <c r="R40" s="1745"/>
      <c r="S40" s="1745"/>
      <c r="T40" s="1745"/>
      <c r="U40" s="1745"/>
      <c r="V40" s="1745"/>
      <c r="W40" s="1745"/>
      <c r="Y40" s="1386" t="s">
        <v>839</v>
      </c>
      <c r="Z40" s="1746" t="s">
        <v>841</v>
      </c>
      <c r="AA40" s="1746"/>
      <c r="AB40" s="1746"/>
      <c r="AC40" s="1746"/>
    </row>
    <row r="41" spans="2:29">
      <c r="N41" s="1386" t="s">
        <v>842</v>
      </c>
      <c r="O41" s="1745" t="s">
        <v>843</v>
      </c>
      <c r="P41" s="1745"/>
      <c r="Q41" s="1745"/>
      <c r="R41" s="1745"/>
      <c r="S41" s="1745"/>
      <c r="T41" s="1745"/>
      <c r="U41" s="1745"/>
      <c r="V41" s="1745"/>
      <c r="W41" s="1745"/>
      <c r="Y41" s="1386" t="s">
        <v>844</v>
      </c>
      <c r="Z41" s="1746" t="s">
        <v>845</v>
      </c>
      <c r="AA41" s="1746"/>
      <c r="AB41" s="1746"/>
      <c r="AC41" s="1746"/>
    </row>
    <row r="42" spans="2:29">
      <c r="N42" s="1386" t="s">
        <v>846</v>
      </c>
      <c r="O42" s="1745" t="s">
        <v>847</v>
      </c>
      <c r="P42" s="1745"/>
      <c r="Q42" s="1745"/>
      <c r="R42" s="1745"/>
      <c r="S42" s="1745"/>
      <c r="T42" s="1745"/>
      <c r="U42" s="1745"/>
      <c r="V42" s="1745"/>
      <c r="W42" s="1745"/>
      <c r="Y42" s="1386" t="s">
        <v>848</v>
      </c>
      <c r="Z42" s="1746" t="s">
        <v>849</v>
      </c>
      <c r="AA42" s="1746"/>
      <c r="AB42" s="1746"/>
      <c r="AC42" s="1746"/>
    </row>
    <row r="43" spans="2:29">
      <c r="N43" s="1386" t="s">
        <v>936</v>
      </c>
      <c r="O43" s="1745" t="s">
        <v>937</v>
      </c>
      <c r="P43" s="1745"/>
      <c r="Q43" s="1745"/>
      <c r="R43" s="1745"/>
      <c r="S43" s="1745"/>
      <c r="T43" s="1745"/>
      <c r="U43" s="1745"/>
      <c r="V43" s="1745"/>
      <c r="W43" s="1745"/>
      <c r="Y43" s="1386" t="s">
        <v>842</v>
      </c>
      <c r="Z43" s="1746" t="s">
        <v>843</v>
      </c>
      <c r="AA43" s="1746"/>
      <c r="AB43" s="1746"/>
      <c r="AC43" s="1746"/>
    </row>
    <row r="44" spans="2:29">
      <c r="N44" s="1386" t="s">
        <v>850</v>
      </c>
      <c r="O44" s="1745" t="s">
        <v>851</v>
      </c>
      <c r="P44" s="1745"/>
      <c r="Q44" s="1745"/>
      <c r="R44" s="1745"/>
      <c r="S44" s="1745"/>
      <c r="T44" s="1745"/>
      <c r="U44" s="1745"/>
      <c r="V44" s="1745"/>
      <c r="W44" s="1745"/>
      <c r="Y44" s="1386" t="s">
        <v>846</v>
      </c>
      <c r="Z44" s="1746" t="s">
        <v>847</v>
      </c>
      <c r="AA44" s="1746"/>
      <c r="AB44" s="1746"/>
      <c r="AC44" s="1746"/>
    </row>
    <row r="45" spans="2:29">
      <c r="N45" s="1386" t="s">
        <v>852</v>
      </c>
      <c r="O45" s="1745" t="s">
        <v>853</v>
      </c>
      <c r="P45" s="1745"/>
      <c r="Q45" s="1745"/>
      <c r="R45" s="1745"/>
      <c r="S45" s="1745"/>
      <c r="T45" s="1745"/>
      <c r="U45" s="1745"/>
      <c r="V45" s="1745"/>
      <c r="W45" s="1745"/>
      <c r="Y45" s="1386" t="s">
        <v>855</v>
      </c>
      <c r="Z45" s="1746" t="s">
        <v>856</v>
      </c>
      <c r="AA45" s="1746"/>
      <c r="AB45" s="1746"/>
      <c r="AC45" s="1746"/>
    </row>
    <row r="46" spans="2:29">
      <c r="N46" s="1386" t="s">
        <v>844</v>
      </c>
      <c r="O46" s="1745" t="s">
        <v>854</v>
      </c>
      <c r="P46" s="1745"/>
      <c r="Q46" s="1745"/>
      <c r="R46" s="1745"/>
      <c r="S46" s="1745"/>
      <c r="T46" s="1745"/>
      <c r="U46" s="1745"/>
      <c r="V46" s="1745"/>
      <c r="W46" s="1745"/>
      <c r="Y46" s="1386" t="s">
        <v>858</v>
      </c>
      <c r="Z46" s="1746" t="s">
        <v>859</v>
      </c>
      <c r="AA46" s="1746"/>
      <c r="AB46" s="1746"/>
      <c r="AC46" s="1746"/>
    </row>
    <row r="47" spans="2:29">
      <c r="N47" s="1386" t="s">
        <v>848</v>
      </c>
      <c r="O47" s="1745" t="s">
        <v>857</v>
      </c>
      <c r="P47" s="1745"/>
      <c r="Q47" s="1745"/>
      <c r="R47" s="1745"/>
      <c r="S47" s="1745"/>
      <c r="T47" s="1745"/>
      <c r="U47" s="1745"/>
      <c r="V47" s="1745"/>
      <c r="W47" s="1745"/>
      <c r="Y47" s="1387" t="s">
        <v>861</v>
      </c>
      <c r="Z47" s="1747" t="s">
        <v>862</v>
      </c>
      <c r="AA47" s="1747"/>
      <c r="AB47" s="1747"/>
      <c r="AC47" s="1747"/>
    </row>
    <row r="48" spans="2:29">
      <c r="N48" s="1386" t="s">
        <v>855</v>
      </c>
      <c r="O48" s="1745" t="s">
        <v>860</v>
      </c>
      <c r="P48" s="1745"/>
      <c r="Q48" s="1745"/>
      <c r="R48" s="1745"/>
      <c r="S48" s="1745"/>
      <c r="T48" s="1745"/>
      <c r="U48" s="1745"/>
      <c r="V48" s="1745"/>
      <c r="W48" s="1745"/>
      <c r="Y48" s="1386" t="s">
        <v>850</v>
      </c>
      <c r="Z48" s="1746" t="s">
        <v>851</v>
      </c>
      <c r="AA48" s="1746"/>
      <c r="AB48" s="1746"/>
      <c r="AC48" s="1746"/>
    </row>
    <row r="49" spans="14:29">
      <c r="N49" s="1386" t="s">
        <v>863</v>
      </c>
      <c r="O49" s="1745" t="s">
        <v>864</v>
      </c>
      <c r="P49" s="1745"/>
      <c r="Q49" s="1745"/>
      <c r="R49" s="1745"/>
      <c r="S49" s="1745"/>
      <c r="T49" s="1745"/>
      <c r="U49" s="1745"/>
      <c r="V49" s="1745"/>
      <c r="W49" s="1745"/>
      <c r="Y49" s="1388" t="s">
        <v>852</v>
      </c>
      <c r="Z49" s="1749" t="s">
        <v>853</v>
      </c>
      <c r="AA49" s="1749"/>
      <c r="AB49" s="1749"/>
      <c r="AC49" s="1749"/>
    </row>
    <row r="50" spans="14:29">
      <c r="N50" s="1386" t="s">
        <v>858</v>
      </c>
      <c r="O50" s="1745" t="s">
        <v>865</v>
      </c>
      <c r="P50" s="1745"/>
      <c r="Q50" s="1745"/>
      <c r="R50" s="1745"/>
      <c r="S50" s="1745"/>
      <c r="T50" s="1745"/>
      <c r="U50" s="1745"/>
      <c r="V50" s="1745"/>
      <c r="W50" s="1745"/>
    </row>
    <row r="51" spans="14:29">
      <c r="N51" s="1388" t="s">
        <v>861</v>
      </c>
      <c r="O51" s="1748" t="s">
        <v>866</v>
      </c>
      <c r="P51" s="1748"/>
      <c r="Q51" s="1748"/>
      <c r="R51" s="1748"/>
      <c r="S51" s="1748"/>
      <c r="T51" s="1748"/>
      <c r="U51" s="1748"/>
      <c r="V51" s="1748"/>
      <c r="W51" s="1748"/>
    </row>
  </sheetData>
  <sheetProtection algorithmName="SHA-512" hashValue="bxoVFXFyp8DqHnx9iDmzZP86GVgm2w/0b8n+LuWHIqOPth3hNDzVM2RBQaBldWwodvBRe3Z/t07+qqIbICB9/w==" saltValue="qOnGNLVuHLv58teJFOx3ng=="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oAAnU2vgbYT9+uqmhvKliCMkg3Rjkn7qwXW1VV7yORn5KeFK51tCXAV71C9M5byrP8pNkc55fsi/UXJyEZeng==" saltValue="bCqokkTaqVzr9htyqe8Um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GALICIA</v>
      </c>
    </row>
    <row r="4" spans="1:155" ht="13.5" thickBot="1">
      <c r="A4" t="str">
        <f>Criterios!A10</f>
        <v>Provincias</v>
      </c>
      <c r="B4" t="str">
        <f>Criterios!B10</f>
        <v>OURENSE</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636</v>
      </c>
      <c r="DL5" s="1756" t="s">
        <v>640</v>
      </c>
      <c r="DM5" s="1848" t="s">
        <v>706</v>
      </c>
      <c r="DN5" s="1848" t="s">
        <v>707</v>
      </c>
      <c r="DO5" s="1848" t="s">
        <v>708</v>
      </c>
      <c r="DP5" s="1848" t="s">
        <v>709</v>
      </c>
      <c r="DQ5" s="1848" t="s">
        <v>710</v>
      </c>
      <c r="DR5" s="1848" t="s">
        <v>711</v>
      </c>
      <c r="DS5" s="1848" t="s">
        <v>712</v>
      </c>
      <c r="DT5" s="1848" t="s">
        <v>713</v>
      </c>
      <c r="DU5" s="1849" t="s">
        <v>714</v>
      </c>
      <c r="DV5" s="1861" t="s">
        <v>715</v>
      </c>
      <c r="DW5" s="1858" t="s">
        <v>716</v>
      </c>
      <c r="DX5" s="1848" t="s">
        <v>717</v>
      </c>
      <c r="DY5" s="1855" t="s">
        <v>718</v>
      </c>
      <c r="DZ5" s="1858" t="s">
        <v>719</v>
      </c>
      <c r="EA5" s="1855" t="s">
        <v>720</v>
      </c>
      <c r="EB5" s="1852" t="s">
        <v>780</v>
      </c>
      <c r="EC5" s="1852" t="s">
        <v>781</v>
      </c>
      <c r="ED5" s="1852" t="s">
        <v>782</v>
      </c>
      <c r="EE5" s="1852" t="s">
        <v>822</v>
      </c>
      <c r="EF5" s="1852" t="s">
        <v>826</v>
      </c>
      <c r="EG5" s="1855" t="s">
        <v>824</v>
      </c>
      <c r="EH5" s="1855" t="s">
        <v>825</v>
      </c>
      <c r="EI5" s="1855" t="s">
        <v>784</v>
      </c>
      <c r="EJ5" s="1855" t="s">
        <v>785</v>
      </c>
      <c r="EK5" s="1867" t="s">
        <v>873</v>
      </c>
      <c r="EL5" s="1870" t="s">
        <v>891</v>
      </c>
      <c r="EM5" s="1871"/>
      <c r="EN5" s="1872"/>
      <c r="EO5" s="1768" t="s">
        <v>991</v>
      </c>
      <c r="EP5" s="1768" t="s">
        <v>993</v>
      </c>
      <c r="EQ5" s="1768" t="s">
        <v>994</v>
      </c>
      <c r="ER5" s="1768" t="s">
        <v>999</v>
      </c>
      <c r="ES5" s="1768" t="s">
        <v>1009</v>
      </c>
      <c r="ET5" s="1864" t="s">
        <v>1089</v>
      </c>
      <c r="EU5" s="1864" t="s">
        <v>1090</v>
      </c>
      <c r="EV5" s="1765" t="s">
        <v>1111</v>
      </c>
      <c r="EW5" s="1765" t="s">
        <v>1117</v>
      </c>
      <c r="EX5" s="1762" t="s">
        <v>1147</v>
      </c>
      <c r="EY5" s="1750" t="s">
        <v>1160</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990</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892</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637</v>
      </c>
      <c r="DL8" s="532" t="s">
        <v>638</v>
      </c>
      <c r="DM8" s="532" t="s">
        <v>721</v>
      </c>
      <c r="DN8" s="532" t="s">
        <v>722</v>
      </c>
      <c r="DO8" s="532" t="s">
        <v>723</v>
      </c>
      <c r="DP8" s="532" t="s">
        <v>724</v>
      </c>
      <c r="DQ8" s="532" t="s">
        <v>725</v>
      </c>
      <c r="DR8" s="532" t="s">
        <v>726</v>
      </c>
      <c r="DS8" s="532" t="s">
        <v>727</v>
      </c>
      <c r="DT8" s="532" t="s">
        <v>728</v>
      </c>
      <c r="DU8" s="538" t="s">
        <v>729</v>
      </c>
      <c r="DV8" s="532" t="s">
        <v>730</v>
      </c>
      <c r="DW8" s="532" t="s">
        <v>731</v>
      </c>
      <c r="DX8" s="532" t="s">
        <v>732</v>
      </c>
      <c r="DY8" s="532" t="s">
        <v>733</v>
      </c>
      <c r="DZ8" s="532" t="s">
        <v>734</v>
      </c>
      <c r="EA8" s="532" t="s">
        <v>735</v>
      </c>
      <c r="EB8" s="532" t="s">
        <v>792</v>
      </c>
      <c r="EC8" s="532" t="s">
        <v>793</v>
      </c>
      <c r="ED8" s="532" t="s">
        <v>794</v>
      </c>
      <c r="EE8" s="532" t="s">
        <v>795</v>
      </c>
      <c r="EF8" s="532" t="s">
        <v>796</v>
      </c>
      <c r="EG8" s="532" t="s">
        <v>797</v>
      </c>
      <c r="EH8" s="532" t="s">
        <v>798</v>
      </c>
      <c r="EI8" s="532" t="s">
        <v>799</v>
      </c>
      <c r="EJ8" s="532" t="s">
        <v>800</v>
      </c>
      <c r="EK8" s="532" t="s">
        <v>874</v>
      </c>
      <c r="EL8" s="852" t="s">
        <v>893</v>
      </c>
      <c r="EM8" s="852" t="s">
        <v>894</v>
      </c>
      <c r="EN8" s="852" t="s">
        <v>895</v>
      </c>
      <c r="EO8" s="53" t="s">
        <v>992</v>
      </c>
      <c r="EP8" s="53" t="s">
        <v>997</v>
      </c>
      <c r="EQ8" s="532" t="s">
        <v>998</v>
      </c>
      <c r="ER8" s="532">
        <v>148</v>
      </c>
      <c r="ES8" s="532" t="s">
        <v>1010</v>
      </c>
      <c r="ET8" s="1519" t="s">
        <v>1091</v>
      </c>
      <c r="EU8" s="1519" t="s">
        <v>1092</v>
      </c>
      <c r="EV8" s="165" t="s">
        <v>1100</v>
      </c>
      <c r="EW8" s="165">
        <v>153</v>
      </c>
      <c r="EX8" s="532" t="s">
        <v>1146</v>
      </c>
      <c r="EY8" s="532" t="s">
        <v>1159</v>
      </c>
    </row>
    <row r="9" spans="1:155" ht="14.25" customHeight="1">
      <c r="A9" s="20" t="s">
        <v>72</v>
      </c>
      <c r="B9" s="21" t="s">
        <v>519</v>
      </c>
      <c r="C9" s="22" t="s">
        <v>8</v>
      </c>
      <c r="D9" s="23" t="s">
        <v>25</v>
      </c>
      <c r="E9" s="21" t="s">
        <v>26</v>
      </c>
      <c r="F9" s="21">
        <v>32</v>
      </c>
      <c r="G9" s="6"/>
      <c r="H9" s="146" t="s">
        <v>320</v>
      </c>
      <c r="I9" s="193">
        <v>2633</v>
      </c>
      <c r="J9" s="194">
        <v>1665</v>
      </c>
      <c r="K9" s="194">
        <v>1848</v>
      </c>
      <c r="L9" s="194">
        <v>2450</v>
      </c>
      <c r="M9" s="194">
        <v>602</v>
      </c>
      <c r="N9" s="194">
        <v>773</v>
      </c>
      <c r="O9" s="194">
        <v>921</v>
      </c>
      <c r="P9" s="194">
        <v>453</v>
      </c>
      <c r="Q9" s="194">
        <v>459</v>
      </c>
      <c r="R9" s="194">
        <v>6620</v>
      </c>
      <c r="S9" s="194">
        <v>3049</v>
      </c>
      <c r="T9" s="194">
        <v>1950</v>
      </c>
      <c r="U9" s="194">
        <v>2268</v>
      </c>
      <c r="V9" s="194">
        <v>2731</v>
      </c>
      <c r="W9" s="194">
        <v>605</v>
      </c>
      <c r="X9" s="201">
        <v>913</v>
      </c>
      <c r="Y9" s="204">
        <v>67</v>
      </c>
      <c r="Z9" s="194">
        <v>182</v>
      </c>
      <c r="AA9" s="194">
        <v>176</v>
      </c>
      <c r="AB9" s="194">
        <v>101</v>
      </c>
      <c r="AC9" s="194">
        <v>0</v>
      </c>
      <c r="AD9" s="194">
        <v>0</v>
      </c>
      <c r="AE9" s="194">
        <v>0</v>
      </c>
      <c r="AF9" s="201">
        <v>0</v>
      </c>
      <c r="AG9" s="204">
        <v>80</v>
      </c>
      <c r="AH9" s="194">
        <v>164</v>
      </c>
      <c r="AI9" s="194">
        <v>198</v>
      </c>
      <c r="AJ9" s="205">
        <v>46</v>
      </c>
      <c r="AK9" s="193">
        <v>0</v>
      </c>
      <c r="AL9" s="194">
        <v>0</v>
      </c>
      <c r="AM9" s="194">
        <v>0</v>
      </c>
      <c r="AN9" s="201">
        <v>0</v>
      </c>
      <c r="AO9" s="282">
        <v>6</v>
      </c>
      <c r="AP9" s="167">
        <v>6</v>
      </c>
      <c r="AQ9" s="167">
        <v>6</v>
      </c>
      <c r="AR9" s="206">
        <v>6</v>
      </c>
      <c r="AS9" s="379" t="s">
        <v>1064</v>
      </c>
      <c r="AT9" s="208"/>
      <c r="AU9" s="207"/>
      <c r="AV9" s="208"/>
      <c r="AW9" s="207"/>
      <c r="AX9" s="208"/>
      <c r="AY9" s="133">
        <f>IF(ISNUMBER(IF(J_V="SI",S9,S9+AG9)),IF(J_V="SI",S9,S9+AG9)," - ")</f>
        <v>3129</v>
      </c>
      <c r="AZ9" s="133">
        <f>IF(ISNUMBER(IF(J_V="SI",T9,T9+AH9)),IF(J_V="SI",T9,T9+AH9)," - ")</f>
        <v>2114</v>
      </c>
      <c r="BA9" s="134">
        <f>IF(ISNUMBER(IF(J_V="SI",U9,U9+AI9)),IF(J_V="SI",U9,U9+AI9)," - ")</f>
        <v>2466</v>
      </c>
      <c r="BB9" s="134">
        <f>IF(ISNUMBER(IF(J_V="SI",V9,V9+AJ9)),IF(J_V="SI",V9,V9+AJ9)," - ")</f>
        <v>2777</v>
      </c>
      <c r="BC9" s="135">
        <f>IF(ISNUMBER(X9),X9," - ")</f>
        <v>913</v>
      </c>
      <c r="BD9" s="136">
        <f>IF(ISNUMBER(BA9/AZ9),BA9/AZ9," - ")</f>
        <v>1.1665089877010406</v>
      </c>
      <c r="BE9" s="137">
        <f>IF(ISNUMBER(BB9/BA9),BB9/BA9, " - ")</f>
        <v>1.1261151662611517</v>
      </c>
      <c r="BF9" s="137">
        <f>IF(ISNUMBER(BC9/BA9),BC9/BA9, " - ")</f>
        <v>0.370235198702352</v>
      </c>
      <c r="BG9" s="209">
        <f>IF(ISNUMBER((AY9+AZ9)/BA9),(AY9+AZ9)/BA9," - ")</f>
        <v>2.1261151662611515</v>
      </c>
      <c r="BH9" s="167">
        <v>6</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1171</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78</v>
      </c>
      <c r="J10" s="194">
        <v>21</v>
      </c>
      <c r="K10" s="194">
        <v>24</v>
      </c>
      <c r="L10" s="194">
        <v>75</v>
      </c>
      <c r="M10" s="194">
        <v>6</v>
      </c>
      <c r="N10" s="194">
        <v>0</v>
      </c>
      <c r="O10" s="194">
        <v>0</v>
      </c>
      <c r="P10" s="194">
        <v>8</v>
      </c>
      <c r="Q10" s="194">
        <v>5</v>
      </c>
      <c r="R10" s="194">
        <v>31</v>
      </c>
      <c r="S10" s="194">
        <v>78</v>
      </c>
      <c r="T10" s="194">
        <v>52</v>
      </c>
      <c r="U10" s="194">
        <v>47</v>
      </c>
      <c r="V10" s="194">
        <v>77</v>
      </c>
      <c r="W10" s="194">
        <v>23</v>
      </c>
      <c r="X10" s="201">
        <v>20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1058</v>
      </c>
      <c r="AT10" s="205"/>
      <c r="AU10" s="213"/>
      <c r="AV10" s="205"/>
      <c r="AW10" s="213"/>
      <c r="AX10" s="205"/>
      <c r="AY10" s="138">
        <f t="shared" ref="AY10:BC10" si="0">IF(ISNUMBER(S10),S10," - ")</f>
        <v>78</v>
      </c>
      <c r="AZ10" s="139">
        <f t="shared" si="0"/>
        <v>52</v>
      </c>
      <c r="BA10" s="139">
        <f t="shared" si="0"/>
        <v>47</v>
      </c>
      <c r="BB10" s="139">
        <f t="shared" si="0"/>
        <v>77</v>
      </c>
      <c r="BC10" s="135">
        <f t="shared" si="0"/>
        <v>23</v>
      </c>
      <c r="BD10" s="136">
        <f>IF(ISNUMBER(BA10/AZ10),BA10/AZ10," - ")</f>
        <v>0.90384615384615385</v>
      </c>
      <c r="BE10" s="137">
        <f>IF(ISNUMBER(BB10/BA10),BB10/BA10, " - ")</f>
        <v>1.6382978723404256</v>
      </c>
      <c r="BF10" s="137">
        <f>IF(ISNUMBER(BC10/BA10),BC10/BA10, " - ")</f>
        <v>0.48936170212765956</v>
      </c>
      <c r="BG10" s="209">
        <f>IF(ISNUMBER((AY10+AZ10)/BA10),(AY10+AZ10)/BA10," - ")</f>
        <v>2.7659574468085109</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1032</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v>635</v>
      </c>
      <c r="J11" s="196">
        <v>282</v>
      </c>
      <c r="K11" s="196">
        <v>300</v>
      </c>
      <c r="L11" s="196">
        <v>626</v>
      </c>
      <c r="M11" s="196">
        <v>125</v>
      </c>
      <c r="N11" s="196">
        <v>411</v>
      </c>
      <c r="O11" s="194">
        <v>161</v>
      </c>
      <c r="P11" s="196">
        <v>38</v>
      </c>
      <c r="Q11" s="196">
        <v>19</v>
      </c>
      <c r="R11" s="196">
        <v>924</v>
      </c>
      <c r="S11" s="196">
        <v>746</v>
      </c>
      <c r="T11" s="196">
        <v>382</v>
      </c>
      <c r="U11" s="196">
        <v>420</v>
      </c>
      <c r="V11" s="196">
        <v>708</v>
      </c>
      <c r="W11" s="196">
        <v>214</v>
      </c>
      <c r="X11" s="202">
        <v>277</v>
      </c>
      <c r="Y11" s="204">
        <v>367</v>
      </c>
      <c r="Z11" s="194">
        <v>288</v>
      </c>
      <c r="AA11" s="194">
        <v>291</v>
      </c>
      <c r="AB11" s="194">
        <v>138</v>
      </c>
      <c r="AC11" s="196">
        <v>0</v>
      </c>
      <c r="AD11" s="196">
        <v>0</v>
      </c>
      <c r="AE11" s="196">
        <v>0</v>
      </c>
      <c r="AF11" s="202">
        <v>0</v>
      </c>
      <c r="AG11" s="215">
        <v>755</v>
      </c>
      <c r="AH11" s="196">
        <v>207</v>
      </c>
      <c r="AI11" s="196">
        <v>267</v>
      </c>
      <c r="AJ11" s="216">
        <v>275</v>
      </c>
      <c r="AK11" s="195">
        <v>0</v>
      </c>
      <c r="AL11" s="196">
        <v>0</v>
      </c>
      <c r="AM11" s="196">
        <v>0</v>
      </c>
      <c r="AN11" s="202">
        <v>0</v>
      </c>
      <c r="AO11" s="283">
        <v>1</v>
      </c>
      <c r="AP11" s="168">
        <v>1</v>
      </c>
      <c r="AQ11" s="168">
        <v>1</v>
      </c>
      <c r="AR11" s="167">
        <v>1</v>
      </c>
      <c r="AS11" s="381" t="s">
        <v>1066</v>
      </c>
      <c r="AT11" s="216"/>
      <c r="AU11" s="215"/>
      <c r="AV11" s="216"/>
      <c r="AW11" s="215"/>
      <c r="AX11" s="216"/>
      <c r="AY11" s="136">
        <f t="shared" ref="AY11:BB12" si="1">IF(ISNUMBER(IF(J_V="SI",S11,S11+AG11)),IF(J_V="SI",S11,S11+AG11)," - ")</f>
        <v>1501</v>
      </c>
      <c r="AZ11" s="137">
        <f t="shared" si="1"/>
        <v>589</v>
      </c>
      <c r="BA11" s="137">
        <f t="shared" si="1"/>
        <v>687</v>
      </c>
      <c r="BB11" s="137">
        <f t="shared" si="1"/>
        <v>983</v>
      </c>
      <c r="BC11" s="135">
        <f>IF(ISNUMBER(X11),X11," - ")</f>
        <v>277</v>
      </c>
      <c r="BD11" s="136">
        <f t="shared" ref="BD11:BD13" si="2">IF(ISNUMBER(BA11/AZ11),BA11/AZ11," - ")</f>
        <v>1.166383701188455</v>
      </c>
      <c r="BE11" s="137">
        <f t="shared" ref="BE11:BE13" si="3">IF(ISNUMBER(BB11/BA11),BB11/BA11, " - ")</f>
        <v>1.4308588064046579</v>
      </c>
      <c r="BF11" s="137">
        <f t="shared" ref="BF11:BF13" si="4">IF(ISNUMBER(BC11/BA11),BC11/BA11, " - ")</f>
        <v>0.40320232896652108</v>
      </c>
      <c r="BG11" s="209">
        <f t="shared" ref="BG11:BG13" si="5">IF(ISNUMBER((AY11+AZ11)/BA11),(AY11+AZ11)/BA11," - ")</f>
        <v>3.042212518195051</v>
      </c>
      <c r="BH11" s="168">
        <v>1</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1172</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t="s">
        <v>1073</v>
      </c>
      <c r="J12" s="196" t="s">
        <v>1065</v>
      </c>
      <c r="K12" s="196" t="s">
        <v>1127</v>
      </c>
      <c r="L12" s="196" t="s">
        <v>1078</v>
      </c>
      <c r="M12" s="196" t="s">
        <v>646</v>
      </c>
      <c r="N12" s="196" t="s">
        <v>660</v>
      </c>
      <c r="O12" s="194" t="s">
        <v>286</v>
      </c>
      <c r="P12" s="196" t="s">
        <v>57</v>
      </c>
      <c r="Q12" s="196" t="s">
        <v>58</v>
      </c>
      <c r="R12" s="196" t="s">
        <v>125</v>
      </c>
      <c r="S12" s="196"/>
      <c r="T12" s="196"/>
      <c r="U12" s="196"/>
      <c r="V12" s="196"/>
      <c r="W12" s="196"/>
      <c r="X12" s="202"/>
      <c r="Y12" s="204" t="s">
        <v>179</v>
      </c>
      <c r="Z12" s="194" t="s">
        <v>180</v>
      </c>
      <c r="AA12" s="194" t="s">
        <v>181</v>
      </c>
      <c r="AB12" s="194" t="s">
        <v>182</v>
      </c>
      <c r="AC12" s="196"/>
      <c r="AD12" s="196"/>
      <c r="AE12" s="196"/>
      <c r="AF12" s="202"/>
      <c r="AG12" s="215"/>
      <c r="AH12" s="196"/>
      <c r="AI12" s="196"/>
      <c r="AJ12" s="216"/>
      <c r="AK12" s="195"/>
      <c r="AL12" s="196"/>
      <c r="AM12" s="196"/>
      <c r="AN12" s="202"/>
      <c r="AO12" s="283">
        <v>0</v>
      </c>
      <c r="AP12" s="168">
        <v>0</v>
      </c>
      <c r="AQ12" s="168">
        <v>0</v>
      </c>
      <c r="AR12" s="167">
        <v>0</v>
      </c>
      <c r="AS12" s="381" t="s">
        <v>1067</v>
      </c>
      <c r="AT12" s="216"/>
      <c r="AU12" s="215"/>
      <c r="AV12" s="216"/>
      <c r="AW12" s="215"/>
      <c r="AX12" s="216"/>
      <c r="AY12" s="136">
        <f t="shared" si="1"/>
        <v>0</v>
      </c>
      <c r="AZ12" s="137">
        <f t="shared" si="1"/>
        <v>0</v>
      </c>
      <c r="BA12" s="137">
        <f t="shared" si="1"/>
        <v>0</v>
      </c>
      <c r="BB12" s="137">
        <f t="shared" si="1"/>
        <v>0</v>
      </c>
      <c r="BC12" s="135" t="str">
        <f>IF(ISNUMBER(X12),X12," - ")</f>
        <v xml:space="preserve"> - </v>
      </c>
      <c r="BD12" s="136" t="str">
        <f t="shared" si="2"/>
        <v xml:space="preserve"> - </v>
      </c>
      <c r="BE12" s="137" t="str">
        <f t="shared" si="3"/>
        <v xml:space="preserve"> - </v>
      </c>
      <c r="BF12" s="137" t="str">
        <f t="shared" si="4"/>
        <v xml:space="preserve"> - </v>
      </c>
      <c r="BG12" s="209" t="str">
        <f t="shared" si="5"/>
        <v xml:space="preserve"> - </v>
      </c>
      <c r="BH12" s="168">
        <v>0</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1173</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662</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3346</v>
      </c>
      <c r="J14" s="197">
        <f t="shared" si="7"/>
        <v>1968</v>
      </c>
      <c r="K14" s="197">
        <f t="shared" si="7"/>
        <v>2172</v>
      </c>
      <c r="L14" s="197">
        <f t="shared" si="7"/>
        <v>3151</v>
      </c>
      <c r="M14" s="197">
        <f t="shared" si="7"/>
        <v>733</v>
      </c>
      <c r="N14" s="197">
        <f t="shared" si="7"/>
        <v>1184</v>
      </c>
      <c r="O14" s="197">
        <f t="shared" si="7"/>
        <v>1082</v>
      </c>
      <c r="P14" s="197">
        <f t="shared" si="7"/>
        <v>499</v>
      </c>
      <c r="Q14" s="197">
        <f t="shared" si="7"/>
        <v>483</v>
      </c>
      <c r="R14" s="197">
        <f t="shared" si="7"/>
        <v>7575</v>
      </c>
      <c r="S14" s="197">
        <f t="shared" si="7"/>
        <v>3873</v>
      </c>
      <c r="T14" s="197">
        <f t="shared" si="7"/>
        <v>2384</v>
      </c>
      <c r="U14" s="197">
        <f t="shared" si="7"/>
        <v>2735</v>
      </c>
      <c r="V14" s="197">
        <f t="shared" si="7"/>
        <v>3516</v>
      </c>
      <c r="W14" s="197">
        <f t="shared" si="7"/>
        <v>842</v>
      </c>
      <c r="X14" s="197">
        <f t="shared" si="7"/>
        <v>1210</v>
      </c>
      <c r="Y14" s="197">
        <f t="shared" si="7"/>
        <v>434</v>
      </c>
      <c r="Z14" s="197">
        <f t="shared" si="7"/>
        <v>470</v>
      </c>
      <c r="AA14" s="197">
        <f t="shared" si="7"/>
        <v>467</v>
      </c>
      <c r="AB14" s="197">
        <f t="shared" si="7"/>
        <v>239</v>
      </c>
      <c r="AC14" s="197">
        <f t="shared" si="7"/>
        <v>0</v>
      </c>
      <c r="AD14" s="197">
        <f t="shared" si="7"/>
        <v>0</v>
      </c>
      <c r="AE14" s="197">
        <f t="shared" si="7"/>
        <v>0</v>
      </c>
      <c r="AF14" s="197">
        <f>SUBTOTAL(9,AF9:AF13)</f>
        <v>0</v>
      </c>
      <c r="AG14" s="197">
        <f t="shared" ref="AG14:AT14" si="8">SUBTOTAL(9,AG8:AG13)</f>
        <v>835</v>
      </c>
      <c r="AH14" s="197">
        <f t="shared" si="8"/>
        <v>371</v>
      </c>
      <c r="AI14" s="197">
        <f t="shared" si="8"/>
        <v>465</v>
      </c>
      <c r="AJ14" s="197">
        <f t="shared" si="8"/>
        <v>321</v>
      </c>
      <c r="AK14" s="197">
        <f t="shared" si="8"/>
        <v>0</v>
      </c>
      <c r="AL14" s="197">
        <f t="shared" si="8"/>
        <v>0</v>
      </c>
      <c r="AM14" s="197">
        <f t="shared" si="8"/>
        <v>0</v>
      </c>
      <c r="AN14" s="197">
        <f t="shared" si="8"/>
        <v>0</v>
      </c>
      <c r="AO14" s="197">
        <f t="shared" si="8"/>
        <v>8</v>
      </c>
      <c r="AP14" s="197">
        <f t="shared" si="8"/>
        <v>7</v>
      </c>
      <c r="AQ14" s="197">
        <f t="shared" si="8"/>
        <v>7</v>
      </c>
      <c r="AR14" s="197">
        <f t="shared" si="8"/>
        <v>7</v>
      </c>
      <c r="AS14" s="197">
        <f t="shared" si="8"/>
        <v>0</v>
      </c>
      <c r="AT14" s="197">
        <f t="shared" si="8"/>
        <v>0</v>
      </c>
      <c r="AU14" s="217"/>
      <c r="AV14" s="142"/>
      <c r="AW14" s="217"/>
      <c r="AX14" s="142"/>
      <c r="AY14" s="197">
        <f>SUBTOTAL(9,AY8:AY13)</f>
        <v>4708</v>
      </c>
      <c r="AZ14" s="197">
        <f>SUBTOTAL(9,AZ8:AZ13)</f>
        <v>2755</v>
      </c>
      <c r="BA14" s="197">
        <f>SUBTOTAL(9,BA8:BA13)</f>
        <v>3200</v>
      </c>
      <c r="BB14" s="197">
        <f>SUBTOTAL(9,BB8:BB13)</f>
        <v>3837</v>
      </c>
      <c r="BC14" s="197">
        <f>SUBTOTAL(9,BC8:BC13)</f>
        <v>1213</v>
      </c>
      <c r="BD14" s="219">
        <f>IF(ISNUMBER(BA14/AZ14),BA14/AZ14," - ")</f>
        <v>1.1615245009074411</v>
      </c>
      <c r="BE14" s="220">
        <f>IF(ISNUMBER(BB14/BA14),BB14/BA14, " - ")</f>
        <v>1.1990624999999999</v>
      </c>
      <c r="BF14" s="220">
        <f>IF(ISNUMBER(BC14/BA14),BC14/BA14, " - ")</f>
        <v>0.37906250000000002</v>
      </c>
      <c r="BG14" s="221">
        <f>IF(ISNUMBER((AY14+AZ14)/BA14),(AY14+AZ14)/BA14," - ")</f>
        <v>2.3321874999999999</v>
      </c>
      <c r="BH14" s="153">
        <f>SUBTOTAL(9,BH8:BH13)</f>
        <v>8</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v>1044</v>
      </c>
      <c r="J16" s="196">
        <v>1416</v>
      </c>
      <c r="K16" s="196">
        <v>1454</v>
      </c>
      <c r="L16" s="196">
        <v>1053</v>
      </c>
      <c r="M16" s="196">
        <v>282</v>
      </c>
      <c r="N16" s="196">
        <v>737</v>
      </c>
      <c r="O16" s="194">
        <v>23</v>
      </c>
      <c r="P16" s="196">
        <v>65</v>
      </c>
      <c r="Q16" s="196">
        <v>92</v>
      </c>
      <c r="R16" s="196">
        <v>174</v>
      </c>
      <c r="S16" s="196">
        <v>1540</v>
      </c>
      <c r="T16" s="196">
        <v>1379</v>
      </c>
      <c r="U16" s="196">
        <v>1438</v>
      </c>
      <c r="V16" s="196">
        <v>1353</v>
      </c>
      <c r="W16" s="196">
        <v>322</v>
      </c>
      <c r="X16" s="202">
        <v>704</v>
      </c>
      <c r="Y16" s="215">
        <v>0</v>
      </c>
      <c r="Z16" s="196">
        <v>0</v>
      </c>
      <c r="AA16" s="196">
        <v>0</v>
      </c>
      <c r="AB16" s="196">
        <v>0</v>
      </c>
      <c r="AC16" s="196">
        <v>0</v>
      </c>
      <c r="AD16" s="196">
        <v>6</v>
      </c>
      <c r="AE16" s="196">
        <v>6</v>
      </c>
      <c r="AF16" s="202">
        <v>0</v>
      </c>
      <c r="AG16" s="215">
        <v>0</v>
      </c>
      <c r="AH16" s="196">
        <v>0</v>
      </c>
      <c r="AI16" s="196">
        <v>0</v>
      </c>
      <c r="AJ16" s="216">
        <v>0</v>
      </c>
      <c r="AK16" s="195">
        <v>0</v>
      </c>
      <c r="AL16" s="196">
        <v>1</v>
      </c>
      <c r="AM16" s="196">
        <v>1</v>
      </c>
      <c r="AN16" s="202">
        <v>0</v>
      </c>
      <c r="AO16" s="283">
        <v>3</v>
      </c>
      <c r="AP16" s="168">
        <v>3</v>
      </c>
      <c r="AQ16" s="168">
        <v>3</v>
      </c>
      <c r="AR16" s="168">
        <v>3</v>
      </c>
      <c r="AS16" s="381" t="s">
        <v>694</v>
      </c>
      <c r="AT16" s="216" t="s">
        <v>424</v>
      </c>
      <c r="AU16" s="215"/>
      <c r="AV16" s="216"/>
      <c r="AW16" s="215"/>
      <c r="AX16" s="216"/>
      <c r="AY16" s="138">
        <f t="shared" ref="AY16:BB17" si="10">IF(ISNUMBER(IF(D_I="SI",S16,S16+AK16)),IF(D_I="SI",S16,S16+AK16)," - ")</f>
        <v>1540</v>
      </c>
      <c r="AZ16" s="139">
        <f t="shared" si="10"/>
        <v>1379</v>
      </c>
      <c r="BA16" s="139">
        <f t="shared" si="10"/>
        <v>1438</v>
      </c>
      <c r="BB16" s="139">
        <f t="shared" si="10"/>
        <v>1353</v>
      </c>
      <c r="BC16" s="135">
        <f>IF(ISNUMBER(W16),W16," - ")</f>
        <v>322</v>
      </c>
      <c r="BD16" s="136">
        <f>IF(ISNUMBER(BA16/AZ16),BA16/AZ16," - ")</f>
        <v>1.0427846265409717</v>
      </c>
      <c r="BE16" s="137">
        <f>IF(ISNUMBER(BB16/BA16),BB16/BA16, " - ")</f>
        <v>0.94089012517385262</v>
      </c>
      <c r="BF16" s="137">
        <f>IF(ISNUMBER(BC16/BA16),BC16/BA16, " - ")</f>
        <v>0.2239221140472879</v>
      </c>
      <c r="BG16" s="209">
        <f t="shared" ref="BG16:BG22" si="11">IF(ISNUMBER((AY16+AZ16)/BA16),(AY16+AZ16)/BA16," - ")</f>
        <v>2.0299026425591098</v>
      </c>
      <c r="BH16" s="168">
        <v>3</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1068</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1</v>
      </c>
      <c r="J17" s="196">
        <v>0</v>
      </c>
      <c r="K17" s="196">
        <v>0</v>
      </c>
      <c r="L17" s="196">
        <v>1</v>
      </c>
      <c r="M17" s="196">
        <v>0</v>
      </c>
      <c r="N17" s="196">
        <v>0</v>
      </c>
      <c r="O17" s="194">
        <v>0</v>
      </c>
      <c r="P17" s="196">
        <v>0</v>
      </c>
      <c r="Q17" s="196">
        <v>0</v>
      </c>
      <c r="R17" s="196">
        <v>0</v>
      </c>
      <c r="S17" s="196">
        <v>1</v>
      </c>
      <c r="T17" s="196">
        <v>0</v>
      </c>
      <c r="U17" s="196">
        <v>0</v>
      </c>
      <c r="V17" s="196">
        <v>1</v>
      </c>
      <c r="W17" s="196">
        <v>0</v>
      </c>
      <c r="X17" s="202">
        <v>0</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0</v>
      </c>
      <c r="AP17" s="168">
        <v>0</v>
      </c>
      <c r="AQ17" s="168">
        <v>0</v>
      </c>
      <c r="AR17" s="168">
        <v>0</v>
      </c>
      <c r="AS17" s="381" t="s">
        <v>644</v>
      </c>
      <c r="AT17" s="216"/>
      <c r="AU17" s="215"/>
      <c r="AV17" s="216"/>
      <c r="AW17" s="215"/>
      <c r="AX17" s="216"/>
      <c r="AY17" s="136">
        <f t="shared" si="10"/>
        <v>1</v>
      </c>
      <c r="AZ17" s="137">
        <f t="shared" si="10"/>
        <v>0</v>
      </c>
      <c r="BA17" s="137">
        <f t="shared" si="10"/>
        <v>0</v>
      </c>
      <c r="BB17" s="137">
        <f t="shared" si="10"/>
        <v>1</v>
      </c>
      <c r="BC17" s="135">
        <f>IF(ISNUMBER(W17),W17," - ")</f>
        <v>0</v>
      </c>
      <c r="BD17" s="136" t="str">
        <f t="shared" ref="BD17:BD22" si="12">IF(ISNUMBER(BA17/AZ17),BA17/AZ17," - ")</f>
        <v xml:space="preserve"> - </v>
      </c>
      <c r="BE17" s="137" t="str">
        <f t="shared" ref="BE17:BE22" si="13">IF(ISNUMBER(BB17/BA17),BB17/BA17, " - ")</f>
        <v xml:space="preserve"> - </v>
      </c>
      <c r="BF17" s="137" t="str">
        <f t="shared" ref="BF17:BF22" si="14">IF(ISNUMBER(BC17/BA17),BC17/BA17, " - ")</f>
        <v xml:space="preserve"> - </v>
      </c>
      <c r="BG17" s="209" t="str">
        <f t="shared" si="11"/>
        <v xml:space="preserve"> - </v>
      </c>
      <c r="BH17" s="168">
        <v>0</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1038</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199</v>
      </c>
      <c r="J18" s="196">
        <v>294</v>
      </c>
      <c r="K18" s="196">
        <v>275</v>
      </c>
      <c r="L18" s="196">
        <v>218</v>
      </c>
      <c r="M18" s="196">
        <v>73</v>
      </c>
      <c r="N18" s="196">
        <v>138</v>
      </c>
      <c r="O18" s="196">
        <v>0</v>
      </c>
      <c r="P18" s="196">
        <v>8</v>
      </c>
      <c r="Q18" s="196">
        <v>4</v>
      </c>
      <c r="R18" s="196">
        <v>10</v>
      </c>
      <c r="S18" s="196">
        <v>151</v>
      </c>
      <c r="T18" s="196">
        <v>170</v>
      </c>
      <c r="U18" s="196">
        <v>214</v>
      </c>
      <c r="V18" s="196">
        <v>107</v>
      </c>
      <c r="W18" s="196">
        <v>20</v>
      </c>
      <c r="X18" s="202">
        <v>111</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1057</v>
      </c>
      <c r="AT18" s="223"/>
      <c r="AU18" s="213"/>
      <c r="AV18" s="223"/>
      <c r="AW18" s="213"/>
      <c r="AX18" s="223"/>
      <c r="AY18" s="138">
        <f t="shared" ref="AY18:BB19" si="15">IF(ISNUMBER(S18),S18," - ")</f>
        <v>151</v>
      </c>
      <c r="AZ18" s="139">
        <f t="shared" si="15"/>
        <v>170</v>
      </c>
      <c r="BA18" s="139">
        <f t="shared" si="15"/>
        <v>214</v>
      </c>
      <c r="BB18" s="139">
        <f t="shared" si="15"/>
        <v>107</v>
      </c>
      <c r="BC18" s="135">
        <f>IF(ISNUMBER(W18),W18," - ")</f>
        <v>20</v>
      </c>
      <c r="BD18" s="136">
        <f>IF(ISNUMBER(BA18/AZ18),BA18/AZ18," - ")</f>
        <v>1.2588235294117647</v>
      </c>
      <c r="BE18" s="137">
        <f>IF(ISNUMBER(BB18/BA18),BB18/BA18, " - ")</f>
        <v>0.5</v>
      </c>
      <c r="BF18" s="137">
        <f>IF(ISNUMBER(BC18/BA18),BC18/BA18, " - ")</f>
        <v>9.3457943925233641E-2</v>
      </c>
      <c r="BG18" s="209">
        <f>IF(ISNUMBER((AY18+AZ18)/BA18),(AY18+AZ18)/BA18," - ")</f>
        <v>1.5</v>
      </c>
      <c r="BH18" s="168">
        <v>1</v>
      </c>
      <c r="BI18" s="168"/>
      <c r="BJ18" s="213"/>
      <c r="BK18" s="167"/>
      <c r="BL18" s="167"/>
      <c r="BM18" s="167">
        <v>1800</v>
      </c>
      <c r="BN18" s="167"/>
      <c r="BO18" s="167"/>
      <c r="BP18" s="167"/>
      <c r="BQ18" s="167"/>
      <c r="BR18" s="167"/>
      <c r="BS18" s="167"/>
      <c r="BT18" s="167"/>
      <c r="BU18" s="167"/>
      <c r="BV18" s="167"/>
      <c r="BW18" s="167"/>
      <c r="BX18" s="167"/>
      <c r="BY18" s="187" t="s">
        <v>934</v>
      </c>
      <c r="BZ18" s="187" t="s">
        <v>935</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1039</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1011</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666</v>
      </c>
      <c r="J21" s="196" t="s">
        <v>667</v>
      </c>
      <c r="K21" s="196" t="s">
        <v>668</v>
      </c>
      <c r="L21" s="196" t="s">
        <v>665</v>
      </c>
      <c r="M21" s="196" t="s">
        <v>669</v>
      </c>
      <c r="N21" s="196" t="s">
        <v>701</v>
      </c>
      <c r="O21" s="196" t="s">
        <v>295</v>
      </c>
      <c r="P21" s="196" t="s">
        <v>211</v>
      </c>
      <c r="Q21" s="196" t="s">
        <v>663</v>
      </c>
      <c r="R21" s="196" t="s">
        <v>664</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1023</v>
      </c>
      <c r="EP21" s="381"/>
      <c r="EQ21" s="381"/>
      <c r="ER21" s="1341" t="s">
        <v>1006</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1014</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1244</v>
      </c>
      <c r="J23" s="197">
        <f t="shared" si="21"/>
        <v>1710</v>
      </c>
      <c r="K23" s="197">
        <f t="shared" si="21"/>
        <v>1729</v>
      </c>
      <c r="L23" s="197">
        <f t="shared" si="21"/>
        <v>1272</v>
      </c>
      <c r="M23" s="197">
        <f t="shared" si="21"/>
        <v>355</v>
      </c>
      <c r="N23" s="197">
        <f t="shared" si="21"/>
        <v>875</v>
      </c>
      <c r="O23" s="197">
        <f t="shared" si="21"/>
        <v>23</v>
      </c>
      <c r="P23" s="197">
        <f t="shared" si="21"/>
        <v>73</v>
      </c>
      <c r="Q23" s="197">
        <f t="shared" si="21"/>
        <v>96</v>
      </c>
      <c r="R23" s="197">
        <f t="shared" si="21"/>
        <v>184</v>
      </c>
      <c r="S23" s="197">
        <f t="shared" si="21"/>
        <v>1692</v>
      </c>
      <c r="T23" s="197">
        <f t="shared" si="21"/>
        <v>1549</v>
      </c>
      <c r="U23" s="197">
        <f t="shared" si="21"/>
        <v>1652</v>
      </c>
      <c r="V23" s="197">
        <f t="shared" si="21"/>
        <v>1461</v>
      </c>
      <c r="W23" s="197">
        <f t="shared" si="21"/>
        <v>342</v>
      </c>
      <c r="X23" s="197">
        <f t="shared" si="21"/>
        <v>815</v>
      </c>
      <c r="Y23" s="197">
        <f t="shared" si="21"/>
        <v>0</v>
      </c>
      <c r="Z23" s="197">
        <f t="shared" si="21"/>
        <v>0</v>
      </c>
      <c r="AA23" s="197">
        <f t="shared" si="21"/>
        <v>0</v>
      </c>
      <c r="AB23" s="197">
        <f t="shared" si="21"/>
        <v>0</v>
      </c>
      <c r="AC23" s="197">
        <f t="shared" si="21"/>
        <v>0</v>
      </c>
      <c r="AD23" s="197">
        <f t="shared" si="21"/>
        <v>6</v>
      </c>
      <c r="AE23" s="197">
        <f t="shared" si="21"/>
        <v>6</v>
      </c>
      <c r="AF23" s="197">
        <f t="shared" si="21"/>
        <v>0</v>
      </c>
      <c r="AG23" s="197">
        <f t="shared" si="21"/>
        <v>0</v>
      </c>
      <c r="AH23" s="197">
        <f t="shared" si="21"/>
        <v>0</v>
      </c>
      <c r="AI23" s="197">
        <f t="shared" si="21"/>
        <v>0</v>
      </c>
      <c r="AJ23" s="197">
        <f t="shared" si="21"/>
        <v>0</v>
      </c>
      <c r="AK23" s="197">
        <f t="shared" si="21"/>
        <v>0</v>
      </c>
      <c r="AL23" s="197">
        <f t="shared" si="21"/>
        <v>1</v>
      </c>
      <c r="AM23" s="197">
        <f t="shared" si="21"/>
        <v>1</v>
      </c>
      <c r="AN23" s="197">
        <f t="shared" si="21"/>
        <v>0</v>
      </c>
      <c r="AO23" s="197">
        <f t="shared" si="21"/>
        <v>4</v>
      </c>
      <c r="AP23" s="197">
        <f t="shared" si="21"/>
        <v>3</v>
      </c>
      <c r="AQ23" s="197">
        <f t="shared" si="21"/>
        <v>3</v>
      </c>
      <c r="AR23" s="197">
        <f t="shared" si="21"/>
        <v>3</v>
      </c>
      <c r="AS23" s="197">
        <f t="shared" si="21"/>
        <v>0</v>
      </c>
      <c r="AT23" s="197">
        <f t="shared" si="21"/>
        <v>0</v>
      </c>
      <c r="AU23" s="217"/>
      <c r="AV23" s="142"/>
      <c r="AW23" s="217"/>
      <c r="AX23" s="142"/>
      <c r="AY23" s="197">
        <f>SUBTOTAL(9,AY15:AY22)</f>
        <v>1692</v>
      </c>
      <c r="AZ23" s="197">
        <f>SUBTOTAL(9,AZ15:AZ22)</f>
        <v>1549</v>
      </c>
      <c r="BA23" s="197">
        <f>SUBTOTAL(9,BA15:BA22)</f>
        <v>1652</v>
      </c>
      <c r="BB23" s="197">
        <f>SUBTOTAL(9,BB15:BB22)</f>
        <v>1461</v>
      </c>
      <c r="BC23" s="197">
        <f>SUBTOTAL(9,BC15:BC22)</f>
        <v>342</v>
      </c>
      <c r="BD23" s="219">
        <f>IF(ISNUMBER(BA23/AZ23),BA23/AZ23," - ")</f>
        <v>1.066494512588767</v>
      </c>
      <c r="BE23" s="220">
        <f>IF(ISNUMBER(BB23/BA23),BB23/BA23, " - ")</f>
        <v>0.88438256658595638</v>
      </c>
      <c r="BF23" s="220">
        <f>IF(ISNUMBER(BC23/BA23),BC23/BA23, " - ")</f>
        <v>0.20702179176755447</v>
      </c>
      <c r="BG23" s="221">
        <f>IF(ISNUMBER((AY23+AZ23)/BA23),(AY23+AZ23)/BA23," - ")</f>
        <v>1.9618644067796611</v>
      </c>
      <c r="BH23" s="197">
        <f>SUBTOTAL(9,BH15:BH22)</f>
        <v>4</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699</v>
      </c>
      <c r="O28" s="196" t="s">
        <v>297</v>
      </c>
      <c r="P28" s="196" t="s">
        <v>1129</v>
      </c>
      <c r="Q28" s="196" t="s">
        <v>1130</v>
      </c>
      <c r="R28" s="196" t="s">
        <v>1131</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1002</v>
      </c>
      <c r="EP28" s="1336"/>
      <c r="EQ28" s="1336"/>
      <c r="ER28" s="1341" t="s">
        <v>1005</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700</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1026</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4590</v>
      </c>
      <c r="J31" s="144">
        <f t="shared" si="36"/>
        <v>3678</v>
      </c>
      <c r="K31" s="144">
        <f t="shared" si="36"/>
        <v>3901</v>
      </c>
      <c r="L31" s="144">
        <f t="shared" si="36"/>
        <v>4423</v>
      </c>
      <c r="M31" s="144">
        <f t="shared" si="36"/>
        <v>1088</v>
      </c>
      <c r="N31" s="144">
        <f t="shared" si="36"/>
        <v>2059</v>
      </c>
      <c r="O31" s="144">
        <f t="shared" si="36"/>
        <v>1105</v>
      </c>
      <c r="P31" s="144">
        <f t="shared" si="36"/>
        <v>572</v>
      </c>
      <c r="Q31" s="144">
        <f t="shared" si="36"/>
        <v>579</v>
      </c>
      <c r="R31" s="144">
        <f t="shared" si="36"/>
        <v>7759</v>
      </c>
      <c r="S31" s="144">
        <f t="shared" si="36"/>
        <v>5565</v>
      </c>
      <c r="T31" s="144">
        <f t="shared" si="36"/>
        <v>3933</v>
      </c>
      <c r="U31" s="144">
        <f t="shared" si="36"/>
        <v>4387</v>
      </c>
      <c r="V31" s="144">
        <f t="shared" si="36"/>
        <v>4977</v>
      </c>
      <c r="W31" s="144">
        <f t="shared" si="36"/>
        <v>1184</v>
      </c>
      <c r="X31" s="144">
        <f t="shared" si="36"/>
        <v>2025</v>
      </c>
      <c r="Y31" s="144">
        <f t="shared" si="36"/>
        <v>434</v>
      </c>
      <c r="Z31" s="144">
        <f t="shared" si="36"/>
        <v>470</v>
      </c>
      <c r="AA31" s="144">
        <f t="shared" si="36"/>
        <v>467</v>
      </c>
      <c r="AB31" s="144">
        <f t="shared" si="36"/>
        <v>239</v>
      </c>
      <c r="AC31" s="144">
        <f t="shared" si="36"/>
        <v>0</v>
      </c>
      <c r="AD31" s="144">
        <f t="shared" si="36"/>
        <v>6</v>
      </c>
      <c r="AE31" s="144">
        <f t="shared" si="36"/>
        <v>6</v>
      </c>
      <c r="AF31" s="144">
        <f t="shared" si="36"/>
        <v>0</v>
      </c>
      <c r="AG31" s="144">
        <f t="shared" si="36"/>
        <v>835</v>
      </c>
      <c r="AH31" s="144">
        <f t="shared" si="36"/>
        <v>371</v>
      </c>
      <c r="AI31" s="144">
        <f t="shared" si="36"/>
        <v>465</v>
      </c>
      <c r="AJ31" s="144">
        <f t="shared" si="36"/>
        <v>321</v>
      </c>
      <c r="AK31" s="144">
        <f t="shared" si="36"/>
        <v>0</v>
      </c>
      <c r="AL31" s="144">
        <f t="shared" si="36"/>
        <v>1</v>
      </c>
      <c r="AM31" s="144">
        <f t="shared" si="36"/>
        <v>1</v>
      </c>
      <c r="AN31" s="224">
        <f t="shared" si="36"/>
        <v>0</v>
      </c>
      <c r="AO31" s="225">
        <v>11</v>
      </c>
      <c r="AP31" s="225">
        <v>10</v>
      </c>
      <c r="AQ31" s="225">
        <v>10</v>
      </c>
      <c r="AR31" s="225">
        <v>10</v>
      </c>
      <c r="AS31" s="166">
        <f t="shared" si="36"/>
        <v>0</v>
      </c>
      <c r="AT31" s="166">
        <f t="shared" si="36"/>
        <v>0</v>
      </c>
      <c r="AU31" s="225"/>
      <c r="AV31" s="226"/>
      <c r="AW31" s="225"/>
      <c r="AX31" s="226"/>
      <c r="AY31" s="143">
        <f>SUBTOTAL(9,AY9:AY30)</f>
        <v>6400</v>
      </c>
      <c r="AZ31" s="144">
        <f>SUBTOTAL(9,AZ9:AZ30)</f>
        <v>4304</v>
      </c>
      <c r="BA31" s="144">
        <f>SUBTOTAL(9,BA9:BA30)</f>
        <v>4852</v>
      </c>
      <c r="BB31" s="144">
        <f>SUBTOTAL(9,BB9:BB30)</f>
        <v>5298</v>
      </c>
      <c r="BC31" s="145">
        <f>SUBTOTAL(9,BC9:BC30)</f>
        <v>1555</v>
      </c>
      <c r="BD31" s="227">
        <f>IF(ISNUMBER(BA31/AZ31),BA31/AZ31," - ")</f>
        <v>1.1273234200743494</v>
      </c>
      <c r="BE31" s="224">
        <f>IF(ISNUMBER(BB31/BA31),BB31/BA31, " - ")</f>
        <v>1.0919208573784007</v>
      </c>
      <c r="BF31" s="224">
        <f>IF(ISNUMBER(BC31/BA31),BC31/BA31, " - ")</f>
        <v>0.32048639736191259</v>
      </c>
      <c r="BG31" s="145">
        <f>IF(ISNUMBER((AY31+AZ31)/BA31),(AY31+AZ31)/BA31," - ")</f>
        <v>2.206100577081616</v>
      </c>
      <c r="BH31" s="225">
        <f>SUBTOTAL(9,BH9:BH30)</f>
        <v>12</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ltBHdUVPYaQ8vHcrQb5x5tCSUQ3u0RzKj7RiXSR+R2Qs5ZDGoR5OM+p/Fv6aN0oxY0QeX6OikGihn9eAKTL0gw==" saltValue="XRuP6VwWXmzLQkxbG9/A+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GALICIA</v>
      </c>
    </row>
    <row r="4" spans="1:155" ht="13.5" thickBot="1">
      <c r="A4" t="str">
        <f>Criterios!A10</f>
        <v>Provincias</v>
      </c>
      <c r="B4" t="str">
        <f>Criterios!B10</f>
        <v>OURENSE</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636</v>
      </c>
      <c r="DL5" s="1756" t="s">
        <v>639</v>
      </c>
      <c r="DM5" s="1848" t="s">
        <v>706</v>
      </c>
      <c r="DN5" s="1848" t="s">
        <v>707</v>
      </c>
      <c r="DO5" s="1848" t="s">
        <v>708</v>
      </c>
      <c r="DP5" s="1848" t="s">
        <v>709</v>
      </c>
      <c r="DQ5" s="1848" t="s">
        <v>710</v>
      </c>
      <c r="DR5" s="1848" t="s">
        <v>711</v>
      </c>
      <c r="DS5" s="1848" t="s">
        <v>712</v>
      </c>
      <c r="DT5" s="1848" t="s">
        <v>713</v>
      </c>
      <c r="DU5" s="1861" t="s">
        <v>714</v>
      </c>
      <c r="DV5" s="1861" t="s">
        <v>715</v>
      </c>
      <c r="DW5" s="1858" t="s">
        <v>716</v>
      </c>
      <c r="DX5" s="1848" t="s">
        <v>717</v>
      </c>
      <c r="DY5" s="1855" t="s">
        <v>718</v>
      </c>
      <c r="DZ5" s="1858" t="s">
        <v>719</v>
      </c>
      <c r="EA5" s="1855" t="s">
        <v>720</v>
      </c>
      <c r="EB5" s="1852" t="s">
        <v>780</v>
      </c>
      <c r="EC5" s="1852" t="s">
        <v>817</v>
      </c>
      <c r="ED5" s="1852" t="s">
        <v>782</v>
      </c>
      <c r="EE5" s="1852" t="s">
        <v>822</v>
      </c>
      <c r="EF5" s="1852" t="s">
        <v>823</v>
      </c>
      <c r="EG5" s="1855" t="s">
        <v>824</v>
      </c>
      <c r="EH5" s="1855" t="s">
        <v>825</v>
      </c>
      <c r="EI5" s="1855" t="s">
        <v>784</v>
      </c>
      <c r="EJ5" s="1855" t="s">
        <v>785</v>
      </c>
      <c r="EK5" s="1879" t="s">
        <v>873</v>
      </c>
      <c r="EL5" s="1870" t="s">
        <v>891</v>
      </c>
      <c r="EM5" s="1871"/>
      <c r="EN5" s="1872"/>
      <c r="EO5" s="1768" t="s">
        <v>991</v>
      </c>
      <c r="EP5" s="1768" t="s">
        <v>993</v>
      </c>
      <c r="EQ5" s="1768" t="s">
        <v>994</v>
      </c>
      <c r="ER5" s="1768" t="s">
        <v>999</v>
      </c>
      <c r="ES5" s="1768" t="s">
        <v>1009</v>
      </c>
      <c r="ET5" s="1864" t="s">
        <v>1089</v>
      </c>
      <c r="EU5" s="1864" t="s">
        <v>1090</v>
      </c>
      <c r="EV5" s="1771" t="s">
        <v>1111</v>
      </c>
      <c r="EW5" s="1855" t="s">
        <v>1114</v>
      </c>
      <c r="EX5" s="1762" t="s">
        <v>1147</v>
      </c>
      <c r="EY5" s="1750" t="s">
        <v>1160</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990</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892</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637</v>
      </c>
      <c r="DL8" s="532" t="s">
        <v>638</v>
      </c>
      <c r="DM8" s="532" t="s">
        <v>721</v>
      </c>
      <c r="DN8" s="532" t="s">
        <v>722</v>
      </c>
      <c r="DO8" s="532" t="s">
        <v>723</v>
      </c>
      <c r="DP8" s="532" t="s">
        <v>724</v>
      </c>
      <c r="DQ8" s="532" t="s">
        <v>725</v>
      </c>
      <c r="DR8" s="532" t="s">
        <v>726</v>
      </c>
      <c r="DS8" s="532" t="s">
        <v>727</v>
      </c>
      <c r="DT8" s="532" t="s">
        <v>728</v>
      </c>
      <c r="DU8" s="532" t="s">
        <v>729</v>
      </c>
      <c r="DV8" s="532" t="s">
        <v>730</v>
      </c>
      <c r="DW8" s="532" t="s">
        <v>731</v>
      </c>
      <c r="DX8" s="532" t="s">
        <v>732</v>
      </c>
      <c r="DY8" s="532" t="s">
        <v>733</v>
      </c>
      <c r="DZ8" s="532" t="s">
        <v>734</v>
      </c>
      <c r="EA8" s="532" t="s">
        <v>735</v>
      </c>
      <c r="EB8" s="532" t="s">
        <v>792</v>
      </c>
      <c r="EC8" s="532" t="s">
        <v>793</v>
      </c>
      <c r="ED8" s="532" t="s">
        <v>794</v>
      </c>
      <c r="EE8" s="532" t="s">
        <v>795</v>
      </c>
      <c r="EF8" s="532" t="s">
        <v>796</v>
      </c>
      <c r="EG8" s="532" t="s">
        <v>797</v>
      </c>
      <c r="EH8" s="532" t="s">
        <v>798</v>
      </c>
      <c r="EI8" s="532" t="s">
        <v>799</v>
      </c>
      <c r="EJ8" s="532" t="s">
        <v>800</v>
      </c>
      <c r="EK8" s="532" t="s">
        <v>874</v>
      </c>
      <c r="EL8" s="532" t="s">
        <v>893</v>
      </c>
      <c r="EM8" s="532" t="s">
        <v>894</v>
      </c>
      <c r="EN8" s="532" t="s">
        <v>895</v>
      </c>
      <c r="EO8" s="53" t="s">
        <v>992</v>
      </c>
      <c r="EP8" s="53" t="s">
        <v>997</v>
      </c>
      <c r="EQ8" s="53" t="s">
        <v>998</v>
      </c>
      <c r="ER8" s="532">
        <v>148</v>
      </c>
      <c r="ES8" s="532" t="s">
        <v>1010</v>
      </c>
      <c r="ET8" s="1519" t="s">
        <v>1091</v>
      </c>
      <c r="EU8" s="1519" t="s">
        <v>1092</v>
      </c>
      <c r="EV8" s="1519" t="s">
        <v>1100</v>
      </c>
      <c r="EW8" s="532" t="s">
        <v>1113</v>
      </c>
      <c r="EX8" s="532" t="s">
        <v>1146</v>
      </c>
      <c r="EY8" s="532" t="s">
        <v>1159</v>
      </c>
    </row>
    <row r="9" spans="1:155" s="788" customFormat="1" ht="14.25" customHeight="1">
      <c r="A9" s="823" t="s">
        <v>72</v>
      </c>
      <c r="B9" s="770" t="s">
        <v>519</v>
      </c>
      <c r="C9" s="771" t="s">
        <v>8</v>
      </c>
      <c r="D9" s="772" t="s">
        <v>25</v>
      </c>
      <c r="E9" s="770" t="s">
        <v>26</v>
      </c>
      <c r="F9" s="770">
        <v>32</v>
      </c>
      <c r="G9" s="773"/>
      <c r="H9" s="824" t="s">
        <v>320</v>
      </c>
      <c r="I9" s="825" t="s">
        <v>1150</v>
      </c>
      <c r="J9" s="775" t="s">
        <v>1152</v>
      </c>
      <c r="K9" s="775" t="s">
        <v>1154</v>
      </c>
      <c r="L9" s="775" t="s">
        <v>1156</v>
      </c>
      <c r="M9" s="775" t="s">
        <v>1158</v>
      </c>
      <c r="N9" s="775" t="s">
        <v>1162</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1168</v>
      </c>
      <c r="AT9" s="832"/>
      <c r="AU9" s="831" t="s">
        <v>1076</v>
      </c>
      <c r="AV9" s="832"/>
      <c r="AW9" s="831" t="s">
        <v>1079</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654</v>
      </c>
      <c r="BW9" s="530" t="s">
        <v>389</v>
      </c>
      <c r="BX9" s="530" t="s">
        <v>390</v>
      </c>
      <c r="BY9" s="530" t="s">
        <v>1175</v>
      </c>
      <c r="BZ9" s="530" t="s">
        <v>641</v>
      </c>
      <c r="CA9" s="530" t="s">
        <v>533</v>
      </c>
      <c r="CB9" s="530" t="s">
        <v>534</v>
      </c>
      <c r="CC9" s="530" t="s">
        <v>535</v>
      </c>
      <c r="CD9" s="530" t="s">
        <v>536</v>
      </c>
      <c r="CE9" s="530"/>
      <c r="CF9" s="530"/>
      <c r="CG9" s="530"/>
      <c r="CH9" s="530"/>
      <c r="CI9" s="530" t="s">
        <v>671</v>
      </c>
      <c r="CJ9" s="530" t="s">
        <v>537</v>
      </c>
      <c r="CK9" s="530" t="s">
        <v>648</v>
      </c>
      <c r="CL9" s="530" t="s">
        <v>650</v>
      </c>
      <c r="CM9" s="530" t="s">
        <v>652</v>
      </c>
      <c r="CN9" s="530">
        <v>1088</v>
      </c>
      <c r="CO9" s="530">
        <v>720</v>
      </c>
      <c r="CP9" s="530">
        <v>1088</v>
      </c>
      <c r="CQ9" s="836" t="s">
        <v>1135</v>
      </c>
      <c r="CR9" s="836" t="s">
        <v>642</v>
      </c>
      <c r="CS9" s="530"/>
      <c r="CT9" s="530"/>
      <c r="CU9" s="530"/>
      <c r="CV9" s="530" t="s">
        <v>659</v>
      </c>
      <c r="CW9" s="530" t="s">
        <v>532</v>
      </c>
      <c r="CX9" s="530" t="s">
        <v>454</v>
      </c>
      <c r="CY9" s="530" t="s">
        <v>576</v>
      </c>
      <c r="CZ9" s="530" t="s">
        <v>577</v>
      </c>
      <c r="DA9" s="530" t="s">
        <v>578</v>
      </c>
      <c r="DB9" s="831" t="s">
        <v>1169</v>
      </c>
      <c r="DC9" s="831" t="s">
        <v>1170</v>
      </c>
      <c r="DD9" s="530"/>
      <c r="DE9" s="530" t="s">
        <v>311</v>
      </c>
      <c r="DF9" s="530"/>
      <c r="DG9" s="530" t="s">
        <v>589</v>
      </c>
      <c r="DH9" s="530" t="s">
        <v>656</v>
      </c>
      <c r="DI9" s="530" t="s">
        <v>657</v>
      </c>
      <c r="DJ9" s="530" t="s">
        <v>658</v>
      </c>
      <c r="DK9" s="530"/>
      <c r="DL9" s="530"/>
      <c r="DM9" s="530"/>
      <c r="DN9" s="530"/>
      <c r="DO9" s="530"/>
      <c r="DP9" s="530"/>
      <c r="DQ9" s="530"/>
      <c r="DR9" s="530"/>
      <c r="DS9" s="530"/>
      <c r="DT9" s="530"/>
      <c r="DU9" s="530" t="s">
        <v>880</v>
      </c>
      <c r="DV9" s="530" t="s">
        <v>875</v>
      </c>
      <c r="DW9" s="530" t="s">
        <v>876</v>
      </c>
      <c r="DX9" s="530" t="s">
        <v>877</v>
      </c>
      <c r="DY9" s="530" t="s">
        <v>878</v>
      </c>
      <c r="DZ9" s="530"/>
      <c r="EA9" s="530"/>
      <c r="EB9" s="530"/>
      <c r="EC9" s="530"/>
      <c r="ED9" s="530"/>
      <c r="EE9" s="530"/>
      <c r="EF9" s="530"/>
      <c r="EG9" s="530"/>
      <c r="EH9" s="530"/>
      <c r="EI9" s="530"/>
      <c r="EJ9" s="530"/>
      <c r="EK9" s="530"/>
      <c r="EL9" s="836" t="s">
        <v>1061</v>
      </c>
      <c r="EM9" s="836" t="s">
        <v>1062</v>
      </c>
      <c r="EN9" s="530" t="s">
        <v>1060</v>
      </c>
      <c r="EO9" s="1318" t="s">
        <v>1171</v>
      </c>
      <c r="EP9" s="1318" t="s">
        <v>1141</v>
      </c>
      <c r="EQ9" s="1318" t="s">
        <v>1142</v>
      </c>
      <c r="ER9" s="1337">
        <v>1200</v>
      </c>
      <c r="ES9" s="1331"/>
      <c r="ET9" s="1520"/>
      <c r="EU9" s="1520"/>
      <c r="EV9" s="530" t="s">
        <v>1103</v>
      </c>
      <c r="EW9" s="530"/>
      <c r="EX9" s="530"/>
      <c r="EY9" s="530"/>
    </row>
    <row r="10" spans="1:155" ht="14.25" customHeight="1">
      <c r="A10" s="147" t="s">
        <v>188</v>
      </c>
      <c r="B10" s="21" t="s">
        <v>519</v>
      </c>
      <c r="C10" s="22" t="s">
        <v>8</v>
      </c>
      <c r="D10" s="23" t="s">
        <v>114</v>
      </c>
      <c r="E10" s="21" t="s">
        <v>114</v>
      </c>
      <c r="F10" s="21" t="s">
        <v>183</v>
      </c>
      <c r="G10" s="6"/>
      <c r="H10" s="146"/>
      <c r="I10" s="193" t="s">
        <v>687</v>
      </c>
      <c r="J10" s="194" t="s">
        <v>685</v>
      </c>
      <c r="K10" s="194" t="s">
        <v>686</v>
      </c>
      <c r="L10" s="194" t="s">
        <v>691</v>
      </c>
      <c r="M10" s="60" t="s">
        <v>678</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1017</v>
      </c>
      <c r="AT10" s="66"/>
      <c r="AU10" s="161" t="s">
        <v>1018</v>
      </c>
      <c r="AV10" s="66"/>
      <c r="AW10" s="161" t="s">
        <v>1019</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1020</v>
      </c>
      <c r="BZ10" s="167"/>
      <c r="CA10" s="167"/>
      <c r="CB10" s="167"/>
      <c r="CC10" s="167"/>
      <c r="CD10" s="167"/>
      <c r="CE10" s="167"/>
      <c r="CF10" s="167"/>
      <c r="CG10" s="167"/>
      <c r="CH10" s="167"/>
      <c r="CI10" s="167" t="s">
        <v>673</v>
      </c>
      <c r="CJ10" s="167" t="s">
        <v>386</v>
      </c>
      <c r="CK10" s="167" t="s">
        <v>606</v>
      </c>
      <c r="CL10" s="167" t="s">
        <v>607</v>
      </c>
      <c r="CM10" s="167" t="s">
        <v>608</v>
      </c>
      <c r="CN10" s="167">
        <v>1175</v>
      </c>
      <c r="CO10" s="167">
        <v>0</v>
      </c>
      <c r="CP10" s="315" t="s">
        <v>539</v>
      </c>
      <c r="CQ10" s="167" t="s">
        <v>1021</v>
      </c>
      <c r="CR10" s="167"/>
      <c r="CS10" s="167"/>
      <c r="CT10" s="169"/>
      <c r="CU10" s="169"/>
      <c r="CV10" s="169" t="s">
        <v>407</v>
      </c>
      <c r="CW10" s="169" t="s">
        <v>446</v>
      </c>
      <c r="CX10" s="169" t="s">
        <v>449</v>
      </c>
      <c r="CY10" s="169" t="s">
        <v>674</v>
      </c>
      <c r="CZ10" s="169" t="s">
        <v>675</v>
      </c>
      <c r="DA10" s="169" t="s">
        <v>676</v>
      </c>
      <c r="DB10" s="355" t="s">
        <v>688</v>
      </c>
      <c r="DC10" s="354"/>
      <c r="DD10" s="169"/>
      <c r="DE10" s="169" t="s">
        <v>312</v>
      </c>
      <c r="DF10" s="169"/>
      <c r="DG10" s="169" t="s">
        <v>677</v>
      </c>
      <c r="DH10" s="167" t="s">
        <v>554</v>
      </c>
      <c r="DI10" s="167" t="s">
        <v>552</v>
      </c>
      <c r="DJ10" s="167" t="s">
        <v>553</v>
      </c>
      <c r="DK10" s="167"/>
      <c r="DL10" s="167"/>
      <c r="DM10" s="315"/>
      <c r="DN10" s="315"/>
      <c r="DO10" s="315"/>
      <c r="DP10" s="315"/>
      <c r="DQ10" s="315"/>
      <c r="DR10" s="315"/>
      <c r="DS10" s="315"/>
      <c r="DT10" s="315"/>
      <c r="DU10" s="168" t="s">
        <v>802</v>
      </c>
      <c r="DV10" s="315" t="s">
        <v>929</v>
      </c>
      <c r="DW10" s="315" t="s">
        <v>926</v>
      </c>
      <c r="DX10" s="315" t="s">
        <v>927</v>
      </c>
      <c r="DY10" s="315" t="s">
        <v>928</v>
      </c>
      <c r="DZ10" s="315"/>
      <c r="EA10" s="315"/>
      <c r="EB10" s="315"/>
      <c r="EC10" s="315"/>
      <c r="ED10" s="315"/>
      <c r="EE10" s="315"/>
      <c r="EF10" s="315"/>
      <c r="EG10" s="315"/>
      <c r="EH10" s="315"/>
      <c r="EI10" s="315"/>
      <c r="EJ10" s="315"/>
      <c r="EK10" s="315"/>
      <c r="EL10" s="315"/>
      <c r="EM10" s="315"/>
      <c r="EN10" s="315"/>
      <c r="EO10" s="355" t="s">
        <v>1032</v>
      </c>
      <c r="EP10" s="355" t="s">
        <v>1033</v>
      </c>
      <c r="EQ10" s="355" t="s">
        <v>1034</v>
      </c>
      <c r="ER10" s="1338">
        <v>1600</v>
      </c>
      <c r="ES10" s="380"/>
      <c r="ET10" s="1520"/>
      <c r="EU10" s="1520"/>
      <c r="EV10" s="530" t="s">
        <v>1105</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1072</v>
      </c>
      <c r="J11" s="350" t="s">
        <v>1069</v>
      </c>
      <c r="K11" s="350" t="s">
        <v>1128</v>
      </c>
      <c r="L11" s="350" t="s">
        <v>1080</v>
      </c>
      <c r="M11" s="350" t="s">
        <v>646</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1070</v>
      </c>
      <c r="AT11" s="778"/>
      <c r="AU11" s="777" t="s">
        <v>1077</v>
      </c>
      <c r="AV11" s="778"/>
      <c r="AW11" s="777" t="s">
        <v>1081</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653</v>
      </c>
      <c r="BW11" s="530" t="s">
        <v>331</v>
      </c>
      <c r="BX11" s="530" t="s">
        <v>332</v>
      </c>
      <c r="BY11" s="790" t="s">
        <v>1177</v>
      </c>
      <c r="BZ11" s="530" t="s">
        <v>989</v>
      </c>
      <c r="CA11" s="530" t="s">
        <v>367</v>
      </c>
      <c r="CB11" s="530" t="s">
        <v>362</v>
      </c>
      <c r="CC11" s="530" t="s">
        <v>363</v>
      </c>
      <c r="CD11" s="530" t="s">
        <v>364</v>
      </c>
      <c r="CE11" s="790"/>
      <c r="CF11" s="790"/>
      <c r="CG11" s="790"/>
      <c r="CH11" s="790"/>
      <c r="CI11" s="790" t="s">
        <v>643</v>
      </c>
      <c r="CJ11" s="790" t="s">
        <v>380</v>
      </c>
      <c r="CK11" s="530" t="s">
        <v>647</v>
      </c>
      <c r="CL11" s="530" t="s">
        <v>649</v>
      </c>
      <c r="CM11" s="530" t="s">
        <v>651</v>
      </c>
      <c r="CN11" s="530">
        <v>1088</v>
      </c>
      <c r="CO11" s="790">
        <v>1000</v>
      </c>
      <c r="CP11" s="530">
        <v>1088</v>
      </c>
      <c r="CQ11" s="530" t="s">
        <v>1138</v>
      </c>
      <c r="CR11" s="530" t="s">
        <v>1137</v>
      </c>
      <c r="CS11" s="790"/>
      <c r="CT11" s="530"/>
      <c r="CU11" s="530"/>
      <c r="CV11" s="530" t="s">
        <v>659</v>
      </c>
      <c r="CW11" s="530" t="s">
        <v>439</v>
      </c>
      <c r="CX11" s="530" t="s">
        <v>454</v>
      </c>
      <c r="CY11" s="530" t="s">
        <v>576</v>
      </c>
      <c r="CZ11" s="530" t="s">
        <v>577</v>
      </c>
      <c r="DA11" s="530" t="s">
        <v>578</v>
      </c>
      <c r="DB11" s="363" t="s">
        <v>1163</v>
      </c>
      <c r="DC11" s="363" t="s">
        <v>1164</v>
      </c>
      <c r="DD11" s="530"/>
      <c r="DE11" s="530" t="s">
        <v>313</v>
      </c>
      <c r="DF11" s="530"/>
      <c r="DG11" s="530" t="s">
        <v>589</v>
      </c>
      <c r="DH11" s="530" t="s">
        <v>656</v>
      </c>
      <c r="DI11" s="530" t="s">
        <v>657</v>
      </c>
      <c r="DJ11" s="530" t="s">
        <v>658</v>
      </c>
      <c r="DK11" s="530"/>
      <c r="DL11" s="530"/>
      <c r="DM11" s="836"/>
      <c r="DN11" s="836"/>
      <c r="DO11" s="836"/>
      <c r="DP11" s="836"/>
      <c r="DQ11" s="836"/>
      <c r="DR11" s="836"/>
      <c r="DS11" s="836"/>
      <c r="DT11" s="836"/>
      <c r="DU11" s="836" t="s">
        <v>880</v>
      </c>
      <c r="DV11" s="836" t="s">
        <v>875</v>
      </c>
      <c r="DW11" s="836" t="s">
        <v>876</v>
      </c>
      <c r="DX11" s="836" t="s">
        <v>877</v>
      </c>
      <c r="DY11" s="836" t="s">
        <v>878</v>
      </c>
      <c r="DZ11" s="836"/>
      <c r="EA11" s="836"/>
      <c r="EB11" s="836"/>
      <c r="EC11" s="836"/>
      <c r="ED11" s="836"/>
      <c r="EE11" s="836"/>
      <c r="EF11" s="836"/>
      <c r="EG11" s="836"/>
      <c r="EH11" s="836"/>
      <c r="EI11" s="836"/>
      <c r="EJ11" s="836"/>
      <c r="EK11" s="836"/>
      <c r="EL11" s="836"/>
      <c r="EM11" s="836"/>
      <c r="EN11" s="836"/>
      <c r="EO11" s="1364" t="s">
        <v>1172</v>
      </c>
      <c r="EP11" s="1364" t="s">
        <v>1139</v>
      </c>
      <c r="EQ11" s="1364" t="s">
        <v>1140</v>
      </c>
      <c r="ER11" s="1339">
        <v>1323</v>
      </c>
      <c r="ES11" s="1332"/>
      <c r="ET11" s="1520"/>
      <c r="EU11" s="1520"/>
      <c r="EV11" s="530" t="s">
        <v>1102</v>
      </c>
      <c r="EW11" s="836"/>
      <c r="EX11" s="836"/>
      <c r="EY11" s="836"/>
    </row>
    <row r="12" spans="1:155" s="788" customFormat="1" ht="14.25" customHeight="1">
      <c r="A12" s="823" t="s">
        <v>521</v>
      </c>
      <c r="B12" s="770" t="s">
        <v>519</v>
      </c>
      <c r="C12" s="771" t="s">
        <v>8</v>
      </c>
      <c r="D12" s="772" t="s">
        <v>25</v>
      </c>
      <c r="E12" s="770" t="s">
        <v>25</v>
      </c>
      <c r="F12" s="770">
        <v>31</v>
      </c>
      <c r="G12" s="773"/>
      <c r="H12" s="839"/>
      <c r="I12" s="351" t="s">
        <v>1151</v>
      </c>
      <c r="J12" s="350" t="s">
        <v>1153</v>
      </c>
      <c r="K12" s="350" t="s">
        <v>1155</v>
      </c>
      <c r="L12" s="350" t="s">
        <v>1157</v>
      </c>
      <c r="M12" s="350" t="s">
        <v>1149</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1165</v>
      </c>
      <c r="AT12" s="778"/>
      <c r="AU12" s="777" t="s">
        <v>1074</v>
      </c>
      <c r="AV12" s="778"/>
      <c r="AW12" s="777" t="s">
        <v>1082</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655</v>
      </c>
      <c r="BW12" s="530" t="s">
        <v>499</v>
      </c>
      <c r="BX12" s="530" t="s">
        <v>500</v>
      </c>
      <c r="BY12" s="790" t="s">
        <v>1176</v>
      </c>
      <c r="BZ12" s="530"/>
      <c r="CA12" s="530" t="s">
        <v>367</v>
      </c>
      <c r="CB12" s="530" t="s">
        <v>362</v>
      </c>
      <c r="CC12" s="530" t="s">
        <v>363</v>
      </c>
      <c r="CD12" s="530" t="s">
        <v>364</v>
      </c>
      <c r="CE12" s="790"/>
      <c r="CF12" s="790"/>
      <c r="CG12" s="790"/>
      <c r="CH12" s="790"/>
      <c r="CI12" s="790" t="s">
        <v>643</v>
      </c>
      <c r="CJ12" s="790" t="s">
        <v>380</v>
      </c>
      <c r="CK12" s="530" t="s">
        <v>648</v>
      </c>
      <c r="CL12" s="530" t="s">
        <v>650</v>
      </c>
      <c r="CM12" s="530" t="s">
        <v>652</v>
      </c>
      <c r="CN12" s="836" t="s">
        <v>435</v>
      </c>
      <c r="CO12" s="790">
        <v>2880</v>
      </c>
      <c r="CP12" s="836" t="s">
        <v>393</v>
      </c>
      <c r="CQ12" s="836" t="s">
        <v>1136</v>
      </c>
      <c r="CR12" s="836"/>
      <c r="CS12" s="790"/>
      <c r="CT12" s="530"/>
      <c r="CU12" s="530"/>
      <c r="CV12" s="530" t="s">
        <v>659</v>
      </c>
      <c r="CW12" s="530" t="s">
        <v>439</v>
      </c>
      <c r="CX12" s="530" t="s">
        <v>454</v>
      </c>
      <c r="CY12" s="530" t="s">
        <v>576</v>
      </c>
      <c r="CZ12" s="530" t="s">
        <v>577</v>
      </c>
      <c r="DA12" s="530" t="s">
        <v>578</v>
      </c>
      <c r="DB12" s="831" t="s">
        <v>1166</v>
      </c>
      <c r="DC12" s="831" t="s">
        <v>1167</v>
      </c>
      <c r="DD12" s="530"/>
      <c r="DE12" s="530" t="s">
        <v>314</v>
      </c>
      <c r="DF12" s="530"/>
      <c r="DG12" s="530" t="s">
        <v>589</v>
      </c>
      <c r="DH12" s="530" t="s">
        <v>656</v>
      </c>
      <c r="DI12" s="530" t="s">
        <v>657</v>
      </c>
      <c r="DJ12" s="530" t="s">
        <v>658</v>
      </c>
      <c r="DK12" s="530"/>
      <c r="DL12" s="530"/>
      <c r="DM12" s="836"/>
      <c r="DN12" s="836"/>
      <c r="DO12" s="836"/>
      <c r="DP12" s="836"/>
      <c r="DQ12" s="836"/>
      <c r="DR12" s="836"/>
      <c r="DS12" s="836"/>
      <c r="DT12" s="836"/>
      <c r="DU12" s="836" t="s">
        <v>880</v>
      </c>
      <c r="DV12" s="836" t="s">
        <v>875</v>
      </c>
      <c r="DW12" s="836" t="s">
        <v>876</v>
      </c>
      <c r="DX12" s="836" t="s">
        <v>877</v>
      </c>
      <c r="DY12" s="836" t="s">
        <v>878</v>
      </c>
      <c r="DZ12" s="836"/>
      <c r="EA12" s="836"/>
      <c r="EB12" s="836"/>
      <c r="EC12" s="836"/>
      <c r="ED12" s="836"/>
      <c r="EE12" s="836"/>
      <c r="EF12" s="836"/>
      <c r="EG12" s="836"/>
      <c r="EH12" s="836"/>
      <c r="EI12" s="836"/>
      <c r="EJ12" s="836"/>
      <c r="EK12" s="836"/>
      <c r="EL12" s="836" t="s">
        <v>1061</v>
      </c>
      <c r="EM12" s="836" t="s">
        <v>1062</v>
      </c>
      <c r="EN12" s="530" t="s">
        <v>1060</v>
      </c>
      <c r="EO12" s="1318" t="s">
        <v>1174</v>
      </c>
      <c r="EP12" s="1318" t="s">
        <v>1143</v>
      </c>
      <c r="EQ12" s="1318" t="s">
        <v>1144</v>
      </c>
      <c r="ER12" s="1337">
        <v>680</v>
      </c>
      <c r="ES12" s="1333"/>
      <c r="ET12" s="1520"/>
      <c r="EU12" s="1520"/>
      <c r="EV12" s="530" t="s">
        <v>1102</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662</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681</v>
      </c>
      <c r="J16" s="350" t="s">
        <v>1040</v>
      </c>
      <c r="K16" s="350" t="s">
        <v>1048</v>
      </c>
      <c r="L16" s="350" t="s">
        <v>1053</v>
      </c>
      <c r="M16" s="350" t="s">
        <v>680</v>
      </c>
      <c r="N16" s="350" t="s">
        <v>422</v>
      </c>
      <c r="O16" s="775" t="s">
        <v>423</v>
      </c>
      <c r="P16" s="350" t="s">
        <v>633</v>
      </c>
      <c r="Q16" s="350" t="s">
        <v>634</v>
      </c>
      <c r="R16" s="350" t="s">
        <v>635</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988</v>
      </c>
      <c r="AT16" s="778" t="s">
        <v>940</v>
      </c>
      <c r="AU16" s="777" t="s">
        <v>692</v>
      </c>
      <c r="AV16" s="778" t="s">
        <v>941</v>
      </c>
      <c r="AW16" s="777" t="s">
        <v>693</v>
      </c>
      <c r="AX16" s="778" t="s">
        <v>942</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1022</v>
      </c>
      <c r="BZ16" s="787" t="s">
        <v>1119</v>
      </c>
      <c r="CA16" s="786"/>
      <c r="CB16" s="786"/>
      <c r="CC16" s="786"/>
      <c r="CD16" s="786"/>
      <c r="CE16" s="786"/>
      <c r="CF16" s="786"/>
      <c r="CG16" s="786"/>
      <c r="CH16" s="786"/>
      <c r="CI16" s="786" t="s">
        <v>645</v>
      </c>
      <c r="CJ16" s="786" t="s">
        <v>514</v>
      </c>
      <c r="CK16" s="786" t="s">
        <v>612</v>
      </c>
      <c r="CL16" s="786" t="s">
        <v>613</v>
      </c>
      <c r="CM16" s="786" t="s">
        <v>614</v>
      </c>
      <c r="CN16" s="786">
        <v>1262</v>
      </c>
      <c r="CO16" s="786">
        <v>6600</v>
      </c>
      <c r="CP16" s="786">
        <v>1262</v>
      </c>
      <c r="CQ16" s="787" t="s">
        <v>682</v>
      </c>
      <c r="CR16" s="787" t="s">
        <v>1120</v>
      </c>
      <c r="CS16" s="786" t="s">
        <v>504</v>
      </c>
      <c r="CT16" s="530"/>
      <c r="CU16" s="530"/>
      <c r="CV16" s="530" t="s">
        <v>489</v>
      </c>
      <c r="CW16" s="530" t="s">
        <v>440</v>
      </c>
      <c r="CX16" s="530" t="s">
        <v>220</v>
      </c>
      <c r="CY16" s="530"/>
      <c r="CZ16" s="530"/>
      <c r="DA16" s="530"/>
      <c r="DB16" s="363" t="s">
        <v>1041</v>
      </c>
      <c r="DC16" s="363" t="s">
        <v>1042</v>
      </c>
      <c r="DD16" s="530"/>
      <c r="DE16" s="530" t="s">
        <v>690</v>
      </c>
      <c r="DF16" s="530" t="s">
        <v>531</v>
      </c>
      <c r="DG16" s="530"/>
      <c r="DH16" s="786" t="s">
        <v>549</v>
      </c>
      <c r="DI16" s="786" t="s">
        <v>550</v>
      </c>
      <c r="DJ16" s="786" t="s">
        <v>551</v>
      </c>
      <c r="DK16" s="786"/>
      <c r="DL16" s="786"/>
      <c r="DM16" s="786"/>
      <c r="DN16" s="786"/>
      <c r="DO16" s="786"/>
      <c r="DP16" s="786"/>
      <c r="DQ16" s="786"/>
      <c r="DR16" s="786"/>
      <c r="DS16" s="786"/>
      <c r="DT16" s="786"/>
      <c r="DU16" s="786" t="s">
        <v>801</v>
      </c>
      <c r="DV16" s="786"/>
      <c r="DW16" s="786"/>
      <c r="DX16" s="786"/>
      <c r="DY16" s="786"/>
      <c r="DZ16" s="786"/>
      <c r="EA16" s="786"/>
      <c r="EB16" s="786" t="s">
        <v>986</v>
      </c>
      <c r="EC16" s="786" t="s">
        <v>814</v>
      </c>
      <c r="ED16" s="786"/>
      <c r="EE16" s="786">
        <v>6000</v>
      </c>
      <c r="EF16" s="786">
        <v>650</v>
      </c>
      <c r="EG16" s="786"/>
      <c r="EH16" s="786"/>
      <c r="EI16" s="786" t="s">
        <v>815</v>
      </c>
      <c r="EJ16" s="786"/>
      <c r="EK16" s="786"/>
      <c r="EL16" s="786"/>
      <c r="EM16" s="786"/>
      <c r="EN16" s="786"/>
      <c r="EO16" s="1317" t="s">
        <v>1071</v>
      </c>
      <c r="EP16" s="1317" t="s">
        <v>1075</v>
      </c>
      <c r="EQ16" s="1317" t="s">
        <v>1083</v>
      </c>
      <c r="ER16" s="1341" t="s">
        <v>1031</v>
      </c>
      <c r="ES16" s="1332"/>
      <c r="ET16" s="1520"/>
      <c r="EU16" s="1520"/>
      <c r="EV16" s="530" t="s">
        <v>1101</v>
      </c>
      <c r="EW16" s="786"/>
      <c r="EX16" s="786"/>
      <c r="EY16" s="786"/>
    </row>
    <row r="17" spans="1:155" ht="14.25" customHeight="1">
      <c r="A17" s="7" t="s">
        <v>521</v>
      </c>
      <c r="B17" s="21" t="s">
        <v>519</v>
      </c>
      <c r="C17" s="22" t="s">
        <v>8</v>
      </c>
      <c r="D17" s="23" t="s">
        <v>25</v>
      </c>
      <c r="E17" s="21" t="s">
        <v>25</v>
      </c>
      <c r="F17" s="21">
        <v>31</v>
      </c>
      <c r="G17" s="6"/>
      <c r="H17" s="24"/>
      <c r="I17" s="25" t="s">
        <v>681</v>
      </c>
      <c r="J17" s="26" t="s">
        <v>1043</v>
      </c>
      <c r="K17" s="26" t="s">
        <v>1049</v>
      </c>
      <c r="L17" s="26" t="s">
        <v>1054</v>
      </c>
      <c r="M17" s="26" t="s">
        <v>680</v>
      </c>
      <c r="N17" s="26" t="s">
        <v>200</v>
      </c>
      <c r="O17" s="60" t="s">
        <v>287</v>
      </c>
      <c r="P17" s="26" t="s">
        <v>633</v>
      </c>
      <c r="Q17" s="26" t="s">
        <v>634</v>
      </c>
      <c r="R17" s="26" t="s">
        <v>635</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1044</v>
      </c>
      <c r="AT17" s="27"/>
      <c r="AU17" s="52" t="s">
        <v>1050</v>
      </c>
      <c r="AV17" s="27"/>
      <c r="AW17" s="52" t="s">
        <v>1055</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697</v>
      </c>
      <c r="BZ17" s="170"/>
      <c r="CA17" s="170"/>
      <c r="CB17" s="170"/>
      <c r="CC17" s="170"/>
      <c r="CD17" s="170"/>
      <c r="CE17" s="170"/>
      <c r="CF17" s="170"/>
      <c r="CG17" s="170"/>
      <c r="CH17" s="170"/>
      <c r="CI17" s="170" t="s">
        <v>645</v>
      </c>
      <c r="CJ17" s="170" t="s">
        <v>514</v>
      </c>
      <c r="CK17" s="168" t="s">
        <v>612</v>
      </c>
      <c r="CL17" s="168" t="s">
        <v>613</v>
      </c>
      <c r="CM17" s="168" t="s">
        <v>614</v>
      </c>
      <c r="CN17" s="315" t="s">
        <v>435</v>
      </c>
      <c r="CO17" s="170">
        <v>2880</v>
      </c>
      <c r="CP17" s="228" t="s">
        <v>394</v>
      </c>
      <c r="CQ17" s="228" t="s">
        <v>682</v>
      </c>
      <c r="CR17" s="228"/>
      <c r="CS17" s="168" t="s">
        <v>504</v>
      </c>
      <c r="CT17" s="169"/>
      <c r="CU17" s="169"/>
      <c r="CV17" s="169" t="s">
        <v>489</v>
      </c>
      <c r="CW17" s="169" t="s">
        <v>440</v>
      </c>
      <c r="CX17" s="169" t="s">
        <v>220</v>
      </c>
      <c r="CY17" s="169"/>
      <c r="CZ17" s="169"/>
      <c r="DA17" s="169"/>
      <c r="DB17" s="160" t="s">
        <v>1045</v>
      </c>
      <c r="DC17" s="160" t="s">
        <v>1046</v>
      </c>
      <c r="DD17" s="169"/>
      <c r="DE17" s="169" t="s">
        <v>690</v>
      </c>
      <c r="DF17" s="169" t="s">
        <v>531</v>
      </c>
      <c r="DG17" s="530"/>
      <c r="DH17" s="168" t="s">
        <v>549</v>
      </c>
      <c r="DI17" s="168" t="s">
        <v>550</v>
      </c>
      <c r="DJ17" s="168" t="s">
        <v>551</v>
      </c>
      <c r="DK17" s="168"/>
      <c r="DL17" s="168"/>
      <c r="DM17" s="168"/>
      <c r="DN17" s="168"/>
      <c r="DO17" s="168"/>
      <c r="DP17" s="168"/>
      <c r="DQ17" s="168"/>
      <c r="DR17" s="168"/>
      <c r="DS17" s="168"/>
      <c r="DT17" s="168"/>
      <c r="DU17" s="168" t="s">
        <v>801</v>
      </c>
      <c r="DV17" s="168"/>
      <c r="DW17" s="168"/>
      <c r="DX17" s="168"/>
      <c r="DY17" s="168"/>
      <c r="DZ17" s="168"/>
      <c r="EA17" s="168"/>
      <c r="EB17" s="168"/>
      <c r="EC17" s="168"/>
      <c r="ED17" s="168"/>
      <c r="EE17" s="168"/>
      <c r="EF17" s="168"/>
      <c r="EG17" s="168"/>
      <c r="EH17" s="168"/>
      <c r="EI17" s="168" t="s">
        <v>815</v>
      </c>
      <c r="EJ17" s="168"/>
      <c r="EK17" s="168"/>
      <c r="EL17" s="168"/>
      <c r="EM17" s="168"/>
      <c r="EN17" s="168"/>
      <c r="EO17" s="1317" t="s">
        <v>1047</v>
      </c>
      <c r="EP17" s="1317" t="s">
        <v>1051</v>
      </c>
      <c r="EQ17" s="1317" t="s">
        <v>1056</v>
      </c>
      <c r="ER17" s="1339">
        <v>1000</v>
      </c>
      <c r="ES17" s="1332"/>
      <c r="ET17" s="1520"/>
      <c r="EU17" s="1520"/>
      <c r="EV17" s="530" t="s">
        <v>1101</v>
      </c>
      <c r="EW17" s="168"/>
      <c r="EX17" s="168"/>
      <c r="EY17" s="168"/>
    </row>
    <row r="18" spans="1:155" ht="14.25" customHeight="1">
      <c r="A18" s="7" t="s">
        <v>188</v>
      </c>
      <c r="B18" s="21" t="s">
        <v>519</v>
      </c>
      <c r="C18" s="22" t="s">
        <v>8</v>
      </c>
      <c r="D18" s="23" t="s">
        <v>114</v>
      </c>
      <c r="E18" s="21" t="s">
        <v>114</v>
      </c>
      <c r="F18" s="21" t="s">
        <v>183</v>
      </c>
      <c r="G18" s="6"/>
      <c r="H18" s="24"/>
      <c r="I18" s="25" t="s">
        <v>189</v>
      </c>
      <c r="J18" s="26" t="s">
        <v>1095</v>
      </c>
      <c r="K18" s="26" t="s">
        <v>191</v>
      </c>
      <c r="L18" s="26" t="s">
        <v>1052</v>
      </c>
      <c r="M18" s="26" t="s">
        <v>679</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703</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934</v>
      </c>
      <c r="BZ18" s="187" t="s">
        <v>985</v>
      </c>
      <c r="CA18" s="167"/>
      <c r="CB18" s="167"/>
      <c r="CC18" s="167"/>
      <c r="CD18" s="167"/>
      <c r="CE18" s="167"/>
      <c r="CF18" s="167"/>
      <c r="CG18" s="167"/>
      <c r="CH18" s="167"/>
      <c r="CI18" s="167" t="s">
        <v>672</v>
      </c>
      <c r="CJ18" s="167" t="s">
        <v>385</v>
      </c>
      <c r="CK18" s="167" t="s">
        <v>615</v>
      </c>
      <c r="CL18" s="167" t="s">
        <v>616</v>
      </c>
      <c r="CM18" s="167" t="s">
        <v>616</v>
      </c>
      <c r="CN18" s="167">
        <v>1175</v>
      </c>
      <c r="CO18" s="167">
        <v>1800</v>
      </c>
      <c r="CP18" s="315" t="s">
        <v>538</v>
      </c>
      <c r="CQ18" s="167" t="s">
        <v>984</v>
      </c>
      <c r="CR18" s="167"/>
      <c r="CS18" s="167" t="s">
        <v>820</v>
      </c>
      <c r="CT18" s="169"/>
      <c r="CU18" s="169"/>
      <c r="CV18" s="169" t="s">
        <v>406</v>
      </c>
      <c r="CW18" s="169" t="s">
        <v>445</v>
      </c>
      <c r="CX18" s="169" t="s">
        <v>448</v>
      </c>
      <c r="CY18" s="169"/>
      <c r="CZ18" s="169"/>
      <c r="DA18" s="169"/>
      <c r="DB18" s="355" t="s">
        <v>1039</v>
      </c>
      <c r="DC18" s="361"/>
      <c r="DD18" s="169"/>
      <c r="DE18" s="362" t="s">
        <v>689</v>
      </c>
      <c r="DF18" s="362" t="s">
        <v>190</v>
      </c>
      <c r="DG18" s="530"/>
      <c r="DH18" s="167" t="s">
        <v>557</v>
      </c>
      <c r="DI18" s="167" t="s">
        <v>555</v>
      </c>
      <c r="DJ18" s="167" t="s">
        <v>556</v>
      </c>
      <c r="DK18" s="167"/>
      <c r="DL18" s="167"/>
      <c r="DM18" s="168"/>
      <c r="DN18" s="168"/>
      <c r="DO18" s="168"/>
      <c r="DP18" s="168"/>
      <c r="DQ18" s="168"/>
      <c r="DR18" s="168"/>
      <c r="DS18" s="168"/>
      <c r="DT18" s="168"/>
      <c r="DU18" s="168" t="s">
        <v>802</v>
      </c>
      <c r="DV18" s="168"/>
      <c r="DW18" s="168"/>
      <c r="DX18" s="168"/>
      <c r="DY18" s="168"/>
      <c r="DZ18" s="168"/>
      <c r="EA18" s="168"/>
      <c r="EB18" s="168" t="s">
        <v>813</v>
      </c>
      <c r="EC18" s="168" t="s">
        <v>816</v>
      </c>
      <c r="ED18" s="168"/>
      <c r="EE18" s="168">
        <v>1200</v>
      </c>
      <c r="EF18" s="168">
        <v>600</v>
      </c>
      <c r="EG18" s="168"/>
      <c r="EH18" s="168"/>
      <c r="EI18" s="168" t="s">
        <v>818</v>
      </c>
      <c r="EJ18" s="168"/>
      <c r="EK18" s="168"/>
      <c r="EL18" s="168"/>
      <c r="EM18" s="168"/>
      <c r="EN18" s="168"/>
      <c r="EO18" s="355" t="s">
        <v>1039</v>
      </c>
      <c r="EP18" s="355" t="s">
        <v>191</v>
      </c>
      <c r="EQ18" s="355" t="s">
        <v>1052</v>
      </c>
      <c r="ER18" s="1338">
        <v>1600</v>
      </c>
      <c r="ES18" s="380"/>
      <c r="ET18" s="1520"/>
      <c r="EU18" s="1520"/>
      <c r="EV18" s="530" t="s">
        <v>1104</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1084</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683</v>
      </c>
      <c r="BZ19" s="170"/>
      <c r="CA19" s="170"/>
      <c r="CB19" s="170"/>
      <c r="CC19" s="170"/>
      <c r="CD19" s="170"/>
      <c r="CE19" s="170"/>
      <c r="CF19" s="170"/>
      <c r="CG19" s="170"/>
      <c r="CH19" s="170"/>
      <c r="CI19" s="170" t="s">
        <v>661</v>
      </c>
      <c r="CJ19" s="170" t="s">
        <v>381</v>
      </c>
      <c r="CK19" s="170" t="s">
        <v>617</v>
      </c>
      <c r="CL19" s="170" t="s">
        <v>618</v>
      </c>
      <c r="CM19" s="170" t="s">
        <v>619</v>
      </c>
      <c r="CN19" s="170">
        <v>1262</v>
      </c>
      <c r="CO19" s="170">
        <v>700</v>
      </c>
      <c r="CP19" s="170">
        <v>1262</v>
      </c>
      <c r="CQ19" s="170" t="s">
        <v>987</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821</v>
      </c>
      <c r="DG19" s="530" t="s">
        <v>590</v>
      </c>
      <c r="DH19" s="170" t="s">
        <v>561</v>
      </c>
      <c r="DI19" s="170" t="s">
        <v>562</v>
      </c>
      <c r="DJ19" s="170" t="s">
        <v>563</v>
      </c>
      <c r="DK19" s="170"/>
      <c r="DL19" s="170"/>
      <c r="DM19" s="168"/>
      <c r="DN19" s="168"/>
      <c r="DO19" s="168"/>
      <c r="DP19" s="168"/>
      <c r="DQ19" s="168"/>
      <c r="DR19" s="168"/>
      <c r="DS19" s="168"/>
      <c r="DT19" s="168"/>
      <c r="DU19" s="168" t="s">
        <v>803</v>
      </c>
      <c r="DV19" s="168"/>
      <c r="DW19" s="168"/>
      <c r="DX19" s="168"/>
      <c r="DY19" s="168"/>
      <c r="DZ19" s="168"/>
      <c r="EA19" s="168"/>
      <c r="EB19" s="168"/>
      <c r="EC19" s="168"/>
      <c r="ED19" s="168"/>
      <c r="EE19" s="168"/>
      <c r="EF19" s="168"/>
      <c r="EG19" s="168"/>
      <c r="EH19" s="168"/>
      <c r="EI19" s="168"/>
      <c r="EJ19" s="168"/>
      <c r="EK19" s="168"/>
      <c r="EL19" s="168"/>
      <c r="EM19" s="168"/>
      <c r="EN19" s="168"/>
      <c r="EO19" s="1317" t="s">
        <v>1011</v>
      </c>
      <c r="EP19" s="1317" t="s">
        <v>1012</v>
      </c>
      <c r="EQ19" s="1317" t="s">
        <v>1013</v>
      </c>
      <c r="ER19" s="1339">
        <v>875</v>
      </c>
      <c r="ES19" s="1332"/>
      <c r="ET19" s="1520"/>
      <c r="EU19" s="1520"/>
      <c r="EV19" s="530" t="s">
        <v>1106</v>
      </c>
      <c r="EW19" s="168"/>
      <c r="EX19" s="168"/>
      <c r="EY19" s="168" t="s">
        <v>1161</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698</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1145</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804</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1107</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943</v>
      </c>
      <c r="J21" s="350" t="s">
        <v>944</v>
      </c>
      <c r="K21" s="350" t="s">
        <v>945</v>
      </c>
      <c r="L21" s="350" t="s">
        <v>946</v>
      </c>
      <c r="M21" s="350" t="s">
        <v>947</v>
      </c>
      <c r="N21" s="350" t="s">
        <v>948</v>
      </c>
      <c r="O21" s="350" t="s">
        <v>949</v>
      </c>
      <c r="P21" s="350" t="s">
        <v>950</v>
      </c>
      <c r="Q21" s="350" t="s">
        <v>951</v>
      </c>
      <c r="R21" s="350" t="s">
        <v>952</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955</v>
      </c>
      <c r="AT21" s="778"/>
      <c r="AU21" s="777" t="s">
        <v>953</v>
      </c>
      <c r="AV21" s="778"/>
      <c r="AW21" s="777" t="s">
        <v>954</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956</v>
      </c>
      <c r="BW21" s="790" t="s">
        <v>400</v>
      </c>
      <c r="BX21" s="790" t="s">
        <v>401</v>
      </c>
      <c r="BY21" s="1538" t="s">
        <v>983</v>
      </c>
      <c r="BZ21" s="1538"/>
      <c r="CA21" s="790"/>
      <c r="CB21" s="790"/>
      <c r="CC21" s="790"/>
      <c r="CD21" s="790"/>
      <c r="CE21" s="790"/>
      <c r="CF21" s="790"/>
      <c r="CG21" s="790"/>
      <c r="CH21" s="790"/>
      <c r="CI21" s="790" t="s">
        <v>957</v>
      </c>
      <c r="CJ21" s="790" t="s">
        <v>958</v>
      </c>
      <c r="CK21" s="790" t="s">
        <v>959</v>
      </c>
      <c r="CL21" s="790" t="s">
        <v>960</v>
      </c>
      <c r="CM21" s="790" t="s">
        <v>961</v>
      </c>
      <c r="CN21" s="1538" t="s">
        <v>416</v>
      </c>
      <c r="CO21" s="790">
        <v>450</v>
      </c>
      <c r="CP21" s="1538" t="s">
        <v>416</v>
      </c>
      <c r="CQ21" s="1538" t="s">
        <v>684</v>
      </c>
      <c r="CR21" s="1538"/>
      <c r="CS21" s="790"/>
      <c r="CT21" s="530"/>
      <c r="CU21" s="530"/>
      <c r="CV21" s="530" t="s">
        <v>410</v>
      </c>
      <c r="CW21" s="530" t="s">
        <v>443</v>
      </c>
      <c r="CX21" s="530" t="s">
        <v>451</v>
      </c>
      <c r="CY21" s="530"/>
      <c r="CZ21" s="530"/>
      <c r="DA21" s="530"/>
      <c r="DB21" s="363" t="s">
        <v>955</v>
      </c>
      <c r="DC21" s="363" t="s">
        <v>211</v>
      </c>
      <c r="DD21" s="530"/>
      <c r="DE21" s="364" t="s">
        <v>962</v>
      </c>
      <c r="DF21" s="364" t="s">
        <v>982</v>
      </c>
      <c r="DG21" s="530"/>
      <c r="DH21" s="790" t="s">
        <v>564</v>
      </c>
      <c r="DI21" s="790" t="s">
        <v>565</v>
      </c>
      <c r="DJ21" s="790" t="s">
        <v>566</v>
      </c>
      <c r="DK21" s="790"/>
      <c r="DL21" s="790"/>
      <c r="DM21" s="786"/>
      <c r="DN21" s="786"/>
      <c r="DO21" s="786"/>
      <c r="DP21" s="786"/>
      <c r="DQ21" s="786"/>
      <c r="DR21" s="786"/>
      <c r="DS21" s="786"/>
      <c r="DT21" s="786"/>
      <c r="DU21" s="786" t="s">
        <v>805</v>
      </c>
      <c r="DV21" s="786"/>
      <c r="DW21" s="786"/>
      <c r="DX21" s="786"/>
      <c r="DY21" s="786"/>
      <c r="DZ21" s="786"/>
      <c r="EA21" s="786"/>
      <c r="EB21" s="786"/>
      <c r="EC21" s="786"/>
      <c r="ED21" s="786" t="s">
        <v>71</v>
      </c>
      <c r="EE21" s="787"/>
      <c r="EF21" s="786">
        <v>600</v>
      </c>
      <c r="EG21" s="786">
        <v>400</v>
      </c>
      <c r="EH21" s="786">
        <v>450</v>
      </c>
      <c r="EI21" s="786"/>
      <c r="EJ21" s="786" t="s">
        <v>819</v>
      </c>
      <c r="EK21" s="786"/>
      <c r="EL21" s="786"/>
      <c r="EM21" s="786"/>
      <c r="EN21" s="786"/>
      <c r="EO21" s="840" t="s">
        <v>1023</v>
      </c>
      <c r="EP21" s="840" t="s">
        <v>1024</v>
      </c>
      <c r="EQ21" s="840" t="s">
        <v>1025</v>
      </c>
      <c r="ER21" s="1539" t="s">
        <v>1006</v>
      </c>
      <c r="ES21" s="1335"/>
      <c r="ET21" s="1528"/>
      <c r="EU21" s="1528"/>
      <c r="EV21" s="530" t="s">
        <v>1108</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881</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805</v>
      </c>
      <c r="DV22" s="786"/>
      <c r="DW22" s="786"/>
      <c r="DX22" s="786"/>
      <c r="DY22" s="786"/>
      <c r="DZ22" s="786"/>
      <c r="EA22" s="786"/>
      <c r="EB22" s="786"/>
      <c r="EC22" s="786"/>
      <c r="ED22" s="786"/>
      <c r="EE22" s="786"/>
      <c r="EF22" s="786"/>
      <c r="EG22" s="786"/>
      <c r="EH22" s="786"/>
      <c r="EI22" s="786"/>
      <c r="EJ22" s="1541" t="s">
        <v>888</v>
      </c>
      <c r="EK22" s="786"/>
      <c r="EL22" s="786"/>
      <c r="EM22" s="786"/>
      <c r="EN22" s="786"/>
      <c r="EO22" s="363" t="s">
        <v>1014</v>
      </c>
      <c r="EP22" s="363" t="s">
        <v>1015</v>
      </c>
      <c r="EQ22" s="363" t="s">
        <v>1016</v>
      </c>
      <c r="ER22" s="1379">
        <v>2400</v>
      </c>
      <c r="ES22" s="1335"/>
      <c r="ET22" s="1528"/>
      <c r="EU22" s="1528"/>
      <c r="EV22" s="530"/>
      <c r="EW22" s="168" t="s">
        <v>1115</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704</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695</v>
      </c>
      <c r="BZ25" s="170"/>
      <c r="CA25" s="170"/>
      <c r="CB25" s="170"/>
      <c r="CC25" s="170"/>
      <c r="CD25" s="170"/>
      <c r="CE25" s="170"/>
      <c r="CF25" s="170"/>
      <c r="CG25" s="170"/>
      <c r="CH25" s="170"/>
      <c r="CI25" s="170" t="s">
        <v>670</v>
      </c>
      <c r="CJ25" s="170" t="s">
        <v>384</v>
      </c>
      <c r="CK25" s="170" t="s">
        <v>620</v>
      </c>
      <c r="CL25" s="170" t="s">
        <v>621</v>
      </c>
      <c r="CM25" s="170" t="s">
        <v>622</v>
      </c>
      <c r="CN25" s="170">
        <v>1262</v>
      </c>
      <c r="CO25" s="170">
        <v>600</v>
      </c>
      <c r="CP25" s="170">
        <v>1262</v>
      </c>
      <c r="CQ25" s="170" t="s">
        <v>696</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705</v>
      </c>
      <c r="DG25" s="530" t="s">
        <v>591</v>
      </c>
      <c r="DH25" s="170" t="s">
        <v>567</v>
      </c>
      <c r="DI25" s="170" t="s">
        <v>568</v>
      </c>
      <c r="DJ25" s="170" t="s">
        <v>569</v>
      </c>
      <c r="DK25" s="170"/>
      <c r="DL25" s="170"/>
      <c r="DM25" s="170" t="s">
        <v>736</v>
      </c>
      <c r="DN25" s="170" t="s">
        <v>737</v>
      </c>
      <c r="DO25" s="170" t="s">
        <v>738</v>
      </c>
      <c r="DP25" s="170"/>
      <c r="DQ25" s="170" t="s">
        <v>739</v>
      </c>
      <c r="DR25" s="170" t="s">
        <v>740</v>
      </c>
      <c r="DS25" s="170"/>
      <c r="DT25" s="170" t="s">
        <v>741</v>
      </c>
      <c r="DU25" s="170" t="s">
        <v>742</v>
      </c>
      <c r="DV25" s="170" t="s">
        <v>743</v>
      </c>
      <c r="DW25" s="170" t="s">
        <v>744</v>
      </c>
      <c r="DX25" s="170" t="s">
        <v>745</v>
      </c>
      <c r="DY25" s="170" t="s">
        <v>746</v>
      </c>
      <c r="DZ25" s="170" t="s">
        <v>747</v>
      </c>
      <c r="EA25" s="170" t="s">
        <v>748</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1109</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964</v>
      </c>
      <c r="J28" s="26" t="s">
        <v>965</v>
      </c>
      <c r="K28" s="26" t="s">
        <v>966</v>
      </c>
      <c r="L28" s="26" t="s">
        <v>967</v>
      </c>
      <c r="M28" s="26" t="s">
        <v>968</v>
      </c>
      <c r="N28" s="26" t="s">
        <v>977</v>
      </c>
      <c r="O28" s="26" t="s">
        <v>969</v>
      </c>
      <c r="P28" s="26" t="s">
        <v>1132</v>
      </c>
      <c r="Q28" s="26" t="s">
        <v>1133</v>
      </c>
      <c r="R28" s="26" t="s">
        <v>1134</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978</v>
      </c>
      <c r="AT28" s="27"/>
      <c r="AU28" s="52" t="s">
        <v>979</v>
      </c>
      <c r="AV28" s="27"/>
      <c r="AW28" s="52" t="s">
        <v>980</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970</v>
      </c>
      <c r="BW28" s="170" t="s">
        <v>963</v>
      </c>
      <c r="BX28" s="170" t="s">
        <v>971</v>
      </c>
      <c r="BY28" s="186" t="s">
        <v>1126</v>
      </c>
      <c r="BZ28" s="186"/>
      <c r="CA28" s="170" t="s">
        <v>371</v>
      </c>
      <c r="CB28" s="170" t="s">
        <v>372</v>
      </c>
      <c r="CC28" s="170" t="s">
        <v>373</v>
      </c>
      <c r="CD28" s="170" t="s">
        <v>374</v>
      </c>
      <c r="CE28" s="170"/>
      <c r="CF28" s="170"/>
      <c r="CG28" s="170"/>
      <c r="CH28" s="170"/>
      <c r="CI28" s="170" t="s">
        <v>972</v>
      </c>
      <c r="CJ28" s="170" t="s">
        <v>973</v>
      </c>
      <c r="CK28" s="170" t="s">
        <v>623</v>
      </c>
      <c r="CL28" s="170" t="s">
        <v>624</v>
      </c>
      <c r="CM28" s="170" t="s">
        <v>625</v>
      </c>
      <c r="CN28" s="186" t="s">
        <v>415</v>
      </c>
      <c r="CO28" s="170">
        <v>850</v>
      </c>
      <c r="CP28" s="186" t="s">
        <v>415</v>
      </c>
      <c r="CQ28" s="170" t="s">
        <v>702</v>
      </c>
      <c r="CR28" s="170"/>
      <c r="CS28" s="170"/>
      <c r="CT28" s="169"/>
      <c r="CU28" s="169"/>
      <c r="CV28" s="169" t="s">
        <v>587</v>
      </c>
      <c r="CW28" s="169" t="s">
        <v>974</v>
      </c>
      <c r="CX28" s="169" t="s">
        <v>453</v>
      </c>
      <c r="CY28" s="169"/>
      <c r="CZ28" s="169"/>
      <c r="DA28" s="169"/>
      <c r="DB28" s="160" t="s">
        <v>978</v>
      </c>
      <c r="DC28" s="356"/>
      <c r="DD28" s="169"/>
      <c r="DE28" s="364" t="s">
        <v>975</v>
      </c>
      <c r="DF28" s="350" t="s">
        <v>981</v>
      </c>
      <c r="DG28" s="169"/>
      <c r="DH28" s="170" t="s">
        <v>570</v>
      </c>
      <c r="DI28" s="170" t="s">
        <v>571</v>
      </c>
      <c r="DJ28" s="170" t="s">
        <v>572</v>
      </c>
      <c r="DK28" s="170"/>
      <c r="DL28" s="170"/>
      <c r="DM28" s="654" t="s">
        <v>779</v>
      </c>
      <c r="DN28" s="170"/>
      <c r="DO28" s="170"/>
      <c r="DP28" s="170"/>
      <c r="DQ28" s="170"/>
      <c r="DR28" s="170"/>
      <c r="DS28" s="170"/>
      <c r="DT28" s="170"/>
      <c r="DU28" s="170" t="s">
        <v>778</v>
      </c>
      <c r="DV28" s="170"/>
      <c r="DW28" s="170"/>
      <c r="DX28" s="170"/>
      <c r="DY28" s="170"/>
      <c r="DZ28" s="170"/>
      <c r="EA28" s="170"/>
      <c r="EB28" s="170"/>
      <c r="EC28" s="170"/>
      <c r="ED28" s="170" t="s">
        <v>976</v>
      </c>
      <c r="EE28" s="170"/>
      <c r="EF28" s="170"/>
      <c r="EG28" s="170"/>
      <c r="EH28" s="170"/>
      <c r="EI28" s="170"/>
      <c r="EJ28" s="170"/>
      <c r="EK28" s="170"/>
      <c r="EL28" s="170"/>
      <c r="EM28" s="170"/>
      <c r="EN28" s="170"/>
      <c r="EO28" s="1319" t="s">
        <v>1002</v>
      </c>
      <c r="EP28" s="1319" t="s">
        <v>1003</v>
      </c>
      <c r="EQ28" s="1319" t="s">
        <v>1004</v>
      </c>
      <c r="ER28" s="1340" t="s">
        <v>1005</v>
      </c>
      <c r="ES28" s="1336"/>
      <c r="ET28" s="1520"/>
      <c r="EU28" s="1520"/>
      <c r="EV28" s="530" t="s">
        <v>1110</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700</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809</v>
      </c>
      <c r="BZ29" s="170"/>
      <c r="CA29" s="170"/>
      <c r="CB29" s="170"/>
      <c r="CC29" s="170"/>
      <c r="CD29" s="170"/>
      <c r="CE29" s="170"/>
      <c r="CF29" s="170"/>
      <c r="CG29" s="170"/>
      <c r="CH29" s="170"/>
      <c r="CI29" s="170"/>
      <c r="CJ29" s="170"/>
      <c r="CK29" s="170"/>
      <c r="CL29" s="170"/>
      <c r="CM29" s="170"/>
      <c r="CN29" s="170">
        <v>1292</v>
      </c>
      <c r="CO29" s="170">
        <v>850</v>
      </c>
      <c r="CP29" s="170">
        <v>1292</v>
      </c>
      <c r="CQ29" s="170" t="s">
        <v>810</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778</v>
      </c>
      <c r="DV29" s="170"/>
      <c r="DW29" s="170"/>
      <c r="DX29" s="170"/>
      <c r="DY29" s="170"/>
      <c r="DZ29" s="170"/>
      <c r="EA29" s="170"/>
      <c r="EB29" s="170"/>
      <c r="EC29" s="170"/>
      <c r="ED29" s="170"/>
      <c r="EE29" s="170"/>
      <c r="EF29" s="170"/>
      <c r="EG29" s="170"/>
      <c r="EH29" s="170"/>
      <c r="EI29" s="170"/>
      <c r="EJ29" s="170"/>
      <c r="EK29" s="170"/>
      <c r="EL29" s="170"/>
      <c r="EM29" s="170"/>
      <c r="EN29" s="170"/>
      <c r="EO29" s="1317" t="s">
        <v>1026</v>
      </c>
      <c r="EP29" s="1317" t="s">
        <v>1027</v>
      </c>
      <c r="EQ29" s="1317" t="s">
        <v>1028</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dX//eBPseoV2eqZs98e287weIbuC0xU7QJy2TL8Y3K8gUlslaELIUxAHHKffmMPbv8zbaZD+EOeQdRwt0wVMrQ==" saltValue="oJe0/o4vz1vT45l9LZA/b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GALICIA</v>
      </c>
      <c r="F1" s="578"/>
    </row>
    <row r="2" spans="1:74" ht="16.5" customHeight="1">
      <c r="C2" s="567" t="str">
        <f>Criterios!A10 &amp;"  "&amp;Criterios!B10 &amp; "  " &amp; IF(NOT(ISBLANK(Criterios!A11)),Criterios!A11 &amp;"  "&amp;Criterios!B11,"")</f>
        <v>Provincias  OURENSE  Resumenes por Partidos Judiciales  OURENSE</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2 al 2</v>
      </c>
      <c r="D5" s="1882" t="s">
        <v>491</v>
      </c>
      <c r="E5" s="1882" t="s">
        <v>749</v>
      </c>
      <c r="F5" s="1893" t="s">
        <v>527</v>
      </c>
      <c r="G5" s="1882" t="s">
        <v>173</v>
      </c>
      <c r="H5" s="1882" t="s">
        <v>782</v>
      </c>
      <c r="I5" s="1882" t="s">
        <v>750</v>
      </c>
      <c r="J5" s="1882" t="s">
        <v>867</v>
      </c>
      <c r="K5" s="1882" t="s">
        <v>868</v>
      </c>
      <c r="L5" s="1882" t="s">
        <v>751</v>
      </c>
      <c r="M5" s="1882" t="s">
        <v>706</v>
      </c>
      <c r="N5" s="1882" t="s">
        <v>869</v>
      </c>
      <c r="O5" s="1885" t="s">
        <v>780</v>
      </c>
      <c r="P5" s="1882" t="s">
        <v>889</v>
      </c>
      <c r="Q5" s="1882" t="s">
        <v>883</v>
      </c>
      <c r="R5" s="1882" t="s">
        <v>229</v>
      </c>
      <c r="S5" s="1888" t="s">
        <v>879</v>
      </c>
      <c r="T5" s="1888" t="s">
        <v>882</v>
      </c>
      <c r="U5" s="1882" t="s">
        <v>783</v>
      </c>
      <c r="V5" s="1888" t="s">
        <v>752</v>
      </c>
      <c r="W5" s="1882" t="s">
        <v>1035</v>
      </c>
      <c r="X5" s="1882" t="s">
        <v>1036</v>
      </c>
      <c r="Y5" s="1902" t="s">
        <v>870</v>
      </c>
      <c r="Z5" s="1899" t="s">
        <v>808</v>
      </c>
      <c r="AA5" s="1917" t="s">
        <v>753</v>
      </c>
      <c r="AB5" s="1899" t="s">
        <v>754</v>
      </c>
      <c r="AC5" s="1899" t="s">
        <v>755</v>
      </c>
      <c r="AD5" s="1920" t="s">
        <v>871</v>
      </c>
      <c r="AE5" s="1920" t="s">
        <v>1063</v>
      </c>
      <c r="AF5" s="1882" t="s">
        <v>884</v>
      </c>
      <c r="AG5" s="1882" t="s">
        <v>707</v>
      </c>
      <c r="AH5" s="1882" t="s">
        <v>872</v>
      </c>
      <c r="AI5" s="1882" t="s">
        <v>240</v>
      </c>
      <c r="AJ5" s="1882" t="s">
        <v>939</v>
      </c>
      <c r="AK5" s="1882" t="s">
        <v>708</v>
      </c>
      <c r="AL5" s="1882" t="s">
        <v>709</v>
      </c>
      <c r="AM5" s="1882" t="s">
        <v>890</v>
      </c>
      <c r="AN5" s="1882" t="s">
        <v>710</v>
      </c>
      <c r="AO5" s="1882" t="s">
        <v>711</v>
      </c>
      <c r="AP5" s="1882" t="s">
        <v>712</v>
      </c>
      <c r="AQ5" s="1882" t="s">
        <v>713</v>
      </c>
      <c r="AR5" s="1882" t="s">
        <v>873</v>
      </c>
      <c r="AS5" s="1882" t="s">
        <v>243</v>
      </c>
      <c r="AT5" s="1905" t="s">
        <v>241</v>
      </c>
      <c r="AU5" s="1882" t="s">
        <v>885</v>
      </c>
      <c r="AV5" s="1908" t="s">
        <v>886</v>
      </c>
      <c r="AW5" s="1911" t="s">
        <v>715</v>
      </c>
      <c r="AX5" s="1882" t="s">
        <v>716</v>
      </c>
      <c r="AY5" s="1882" t="s">
        <v>806</v>
      </c>
      <c r="AZ5" s="1914" t="s">
        <v>807</v>
      </c>
      <c r="BA5" s="1882" t="s">
        <v>757</v>
      </c>
      <c r="BB5" s="1908" t="s">
        <v>758</v>
      </c>
      <c r="BC5" s="1911" t="s">
        <v>244</v>
      </c>
      <c r="BD5" s="1882" t="s">
        <v>759</v>
      </c>
      <c r="BE5" s="1882" t="s">
        <v>322</v>
      </c>
      <c r="BF5" s="1882" t="s">
        <v>323</v>
      </c>
      <c r="BG5" s="1882" t="s">
        <v>324</v>
      </c>
      <c r="BH5" s="1882" t="s">
        <v>760</v>
      </c>
      <c r="BI5" s="1882" t="s">
        <v>325</v>
      </c>
      <c r="BJ5" s="1882" t="s">
        <v>761</v>
      </c>
      <c r="BK5" s="1882" t="s">
        <v>776</v>
      </c>
      <c r="BL5" s="1882" t="s">
        <v>762</v>
      </c>
      <c r="BM5" s="1882" t="s">
        <v>763</v>
      </c>
      <c r="BN5" s="1882" t="s">
        <v>791</v>
      </c>
      <c r="BO5" s="1882" t="s">
        <v>784</v>
      </c>
      <c r="BP5" s="1882" t="s">
        <v>1112</v>
      </c>
      <c r="BQ5" s="1882" t="s">
        <v>1116</v>
      </c>
      <c r="BR5" s="1882" t="s">
        <v>1118</v>
      </c>
      <c r="BS5" s="1882" t="s">
        <v>785</v>
      </c>
      <c r="BT5" s="1882" t="s">
        <v>764</v>
      </c>
      <c r="BU5" s="1882" t="s">
        <v>714</v>
      </c>
      <c r="BV5" s="1896" t="s">
        <v>1037</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6</v>
      </c>
      <c r="B9" s="745" t="s">
        <v>321</v>
      </c>
      <c r="C9" s="765" t="str">
        <f>Datos!A9</f>
        <v xml:space="preserve">Jdos. 1ª Instancia   </v>
      </c>
      <c r="D9" s="593"/>
      <c r="E9" s="764">
        <f>IF(ISNUMBER(Datos!AQ9),Datos!AQ9," - ")</f>
        <v>6</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f>IF(ISNUMBER(Datos!Z9),Datos!Z9," - ")</f>
        <v>182</v>
      </c>
      <c r="O9" s="549"/>
      <c r="P9" s="549"/>
      <c r="Q9" s="547">
        <f>IF(ISNUMBER(Datos!P9),Datos!P9,0)</f>
        <v>453</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f>IF(ISNUMBER(Datos!Q9),Datos!Q9," - ")</f>
        <v>459</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f>IF(ISNUMBER(Datos!AB9),Datos!AB9,"-")</f>
        <v>101</v>
      </c>
      <c r="AI9" s="549" t="str">
        <f>IF(ISNUMBER(Datos!CD9),Datos!CD9,"-")</f>
        <v>-</v>
      </c>
      <c r="AJ9" s="549" t="str">
        <f>IF(ISNUMBER(Datos!EN9),Datos!EN9," - ")</f>
        <v xml:space="preserve"> - </v>
      </c>
      <c r="AK9" s="549"/>
      <c r="AL9" s="550"/>
      <c r="AM9" s="766">
        <f>IF(ISNUMBER(Datos!R9),Datos!R9," - ")</f>
        <v>6620</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f>IF(ISNUMBER(Datos!M9),Datos!M9," - ")</f>
        <v>602</v>
      </c>
      <c r="BD9" s="693">
        <f>IF(ISNUMBER(Datos!N9),Datos!N9," - ")</f>
        <v>773</v>
      </c>
      <c r="BE9" s="693" t="str">
        <f>IF(ISNUMBER(Datos!BW9),Datos!BW9," - ")</f>
        <v xml:space="preserve"> - </v>
      </c>
      <c r="BF9" s="762" t="str">
        <f>IF(ISNUMBER(Datos!BX9),Datos!BX9," - ")</f>
        <v xml:space="preserve"> - </v>
      </c>
      <c r="BG9" s="763">
        <f>IF(ISNUMBER(IF(J_V="SI",Datos!K9/Datos!J9,(Datos!K9+Datos!AA9)/(Datos!J9+Datos!Z9))),IF(J_V="SI",Datos!K9/Datos!J9,(Datos!K9+Datos!AA9)/(Datos!J9+Datos!Z9))," - ")</f>
        <v>1.0958310774228479</v>
      </c>
      <c r="BH9" s="764">
        <f>IF(ISNUMBER(((IF(J_V="SI",Datos!L9/Datos!K9,(Datos!L9+Datos!AB9)/(Datos!K9+Datos!AA9)))*11)/factor_trimestre),((IF(J_V="SI",Datos!L9/Datos!K9,(Datos!L9+Datos!AB9)/(Datos!K9+Datos!AA9)))*11)/factor_trimestre," - ")</f>
        <v>3.7811264822134389</v>
      </c>
      <c r="BI9" s="763"/>
      <c r="BJ9" s="555" t="str">
        <f>IF(ISNUMBER(Datos!CI9/Datos!CJ9),Datos!CI9/Datos!CJ9," - ")</f>
        <v xml:space="preserve"> - </v>
      </c>
      <c r="BK9" s="748" t="str">
        <f>IF(ISNUMBER(Datos!CJ9),Datos!CJ9," - ")</f>
        <v xml:space="preserve"> - </v>
      </c>
      <c r="BL9" s="555" t="str">
        <f>IF(ISNUMBER((J9-AB9+L9)/(F9)),(J9-AB9+L9)/(F9)," - ")</f>
        <v xml:space="preserve"> - </v>
      </c>
      <c r="BM9" s="767">
        <f>IF(ISNUMBER((Datos!P9-Datos!Q9+Datos!DE9)/(Datos!R9-Datos!P9+Datos!Q9-Datos!DE9)),(Datos!P9-Datos!Q9+Datos!DE9)/(Datos!R9-Datos!P9+Datos!Q9-Datos!DE9)," - ")</f>
        <v>-9.0552369453667371E-4</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78</v>
      </c>
      <c r="G10" s="543">
        <f>IF(ISNUMBER(Datos!I10),Datos!I10," - ")</f>
        <v>78</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8</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24</v>
      </c>
      <c r="AC10" s="547">
        <f>IF(ISNUMBER(Datos!Q10),Datos!Q10," - ")</f>
        <v>5</v>
      </c>
      <c r="AD10" s="549"/>
      <c r="AE10" s="563"/>
      <c r="AF10" s="551">
        <f>IF(ISNUMBER(Datos!L10),Datos!L10,"-")</f>
        <v>75</v>
      </c>
      <c r="AG10" s="549"/>
      <c r="AH10" s="549"/>
      <c r="AI10" s="549"/>
      <c r="AJ10" s="549"/>
      <c r="AK10" s="549"/>
      <c r="AL10" s="550"/>
      <c r="AM10" s="766">
        <f>IF(ISNUMBER(Datos!R10),Datos!R10," - ")</f>
        <v>31</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6</v>
      </c>
      <c r="BD10" s="693">
        <f>IF(ISNUMBER(Datos!N10),Datos!N10," - ")</f>
        <v>0</v>
      </c>
      <c r="BE10" s="693" t="str">
        <f>IF(ISNUMBER(Datos!BW10),Datos!BW10," - ")</f>
        <v xml:space="preserve"> - </v>
      </c>
      <c r="BF10" s="762" t="str">
        <f>IF(ISNUMBER(Datos!BX10),Datos!BX10," - ")</f>
        <v xml:space="preserve"> - </v>
      </c>
      <c r="BG10" s="763">
        <f>IF(ISNUMBER(Datos!K10/Datos!J10),Datos!K10/Datos!J10," - ")</f>
        <v>1.1428571428571428</v>
      </c>
      <c r="BH10" s="764">
        <f>IF(ISNUMBER(((Datos!L10/Datos!K10)*11)/factor_trimestre),((Datos!L10/Datos!K10)*11)/factor_trimestre," - ")</f>
        <v>9.375</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0.10714285714285714</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1</v>
      </c>
      <c r="B11" s="746" t="s">
        <v>321</v>
      </c>
      <c r="C11" s="747" t="str">
        <f>Datos!A11</f>
        <v xml:space="preserve">Jdos. Familia                                   </v>
      </c>
      <c r="D11" s="601"/>
      <c r="E11" s="764">
        <f>IF(ISNUMBER(Datos!AQ11),Datos!AQ11," - ")</f>
        <v>1</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f>IF(ISNUMBER(Datos!Z11),Datos!Z11," - ")</f>
        <v>288</v>
      </c>
      <c r="O11" s="549"/>
      <c r="P11" s="549"/>
      <c r="Q11" s="547">
        <f>IF(ISNUMBER(Datos!P11),Datos!P11,0)</f>
        <v>38</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f>IF(ISNUMBER(Datos!Q11),Datos!Q11," - ")</f>
        <v>19</v>
      </c>
      <c r="AD11" s="549"/>
      <c r="AE11" s="563"/>
      <c r="AF11" s="551" t="str">
        <f>IF(ISNUMBER(IF(J_V="SI",Datos!L11,Datos!L11+Datos!AB11)-IF(Monitorios="SI",Datos!CD11,0)),
                          IF(J_V="SI",Datos!L11,Datos!L11+Datos!AB11)-IF(Monitorios="SI",Datos!CD11,0),
                          " - ")</f>
        <v xml:space="preserve"> - </v>
      </c>
      <c r="AG11" s="549"/>
      <c r="AH11" s="549">
        <f>IF(ISNUMBER(Datos!AB11),Datos!AB11,"-")</f>
        <v>138</v>
      </c>
      <c r="AI11" s="549"/>
      <c r="AJ11" s="549"/>
      <c r="AK11" s="549"/>
      <c r="AL11" s="550"/>
      <c r="AM11" s="766">
        <f>IF(ISNUMBER(Datos!R11),Datos!R11," - ")</f>
        <v>924</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f>IF(ISNUMBER(Datos!M11),Datos!M11," - ")</f>
        <v>125</v>
      </c>
      <c r="BD11" s="693">
        <f>IF(ISNUMBER(Datos!N11),Datos!N11," - ")</f>
        <v>411</v>
      </c>
      <c r="BE11" s="693" t="str">
        <f>IF(ISNUMBER(Datos!BW11),Datos!BW11," - ")</f>
        <v xml:space="preserve"> - </v>
      </c>
      <c r="BF11" s="762" t="str">
        <f>IF(ISNUMBER(Datos!BX11),Datos!BX11," - ")</f>
        <v xml:space="preserve"> - </v>
      </c>
      <c r="BG11" s="763">
        <f>IF(ISNUMBER(IF(J_V="SI",Datos!K11/Datos!J11,(Datos!K11+Datos!AA11)/(Datos!J11+Datos!Z11))),IF(J_V="SI",Datos!K11/Datos!J11,(Datos!K11+Datos!AA11)/(Datos!J11+Datos!Z11))," - ")</f>
        <v>1.0368421052631578</v>
      </c>
      <c r="BH11" s="764">
        <f>IF(ISNUMBER(((IF(J_V="SI",Datos!L11/Datos!K11,(Datos!L11+Datos!AB11)/(Datos!K11+Datos!AA11)))*11)/factor_trimestre),((IF(J_V="SI",Datos!L11/Datos!K11,(Datos!L11+Datos!AB11)/(Datos!K11+Datos!AA11)))*11)/factor_trimestre," - ")</f>
        <v>3.8781725888324878</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f>IF(ISNUMBER((Datos!P11-Datos!Q11+Datos!DE11)/(Datos!R11-Datos!P11+Datos!Q11-Datos!DE11)),(Datos!P11-Datos!Q11+Datos!DE11)/(Datos!R11-Datos!P11+Datos!Q11-Datos!DE11)," - ")</f>
        <v>2.0994475138121547E-2</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0</v>
      </c>
      <c r="B12" s="746" t="s">
        <v>321</v>
      </c>
      <c r="C12" s="747" t="str">
        <f>Datos!A12</f>
        <v xml:space="preserve">Jdos. 1ª Instª. e Instr.                        </v>
      </c>
      <c r="D12" s="601"/>
      <c r="E12" s="764">
        <f>IF(ISNUMBER(Datos!AQ12),Datos!AQ12," - ")</f>
        <v>0</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t="str">
        <f>IF(ISNUMBER(Datos!Z12),Datos!Z12," - ")</f>
        <v xml:space="preserve"> - </v>
      </c>
      <c r="O12" s="549"/>
      <c r="P12" s="549"/>
      <c r="Q12" s="547">
        <f>IF(ISNUMBER(Datos!P12),Datos!P12,0)</f>
        <v>0</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t="str">
        <f>IF(ISNUMBER(Datos!Q12),Datos!Q12," - ")</f>
        <v xml:space="preserve"> - </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t="str">
        <f>IF(ISNUMBER(Datos!AB12),Datos!AB12,"-")</f>
        <v>-</v>
      </c>
      <c r="AI12" s="549" t="str">
        <f>IF(ISNUMBER(Datos!CD12),Datos!CD12,"-")</f>
        <v>-</v>
      </c>
      <c r="AJ12" s="549" t="str">
        <f>IF(ISNUMBER(Datos!EN12),Datos!EN12," - ")</f>
        <v xml:space="preserve"> - </v>
      </c>
      <c r="AK12" s="549"/>
      <c r="AL12" s="550"/>
      <c r="AM12" s="766" t="str">
        <f>IF(ISNUMBER(Datos!R12),Datos!R12," - ")</f>
        <v xml:space="preserve"> - </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t="str">
        <f>IF(ISNUMBER(Datos!M12),Datos!M12," - ")</f>
        <v xml:space="preserve"> - </v>
      </c>
      <c r="BD12" s="693" t="str">
        <f>IF(ISNUMBER(Datos!N12),Datos!N12," - ")</f>
        <v xml:space="preserve"> - </v>
      </c>
      <c r="BE12" s="693" t="str">
        <f>IF(ISNUMBER(Datos!BW12),Datos!BW12," - ")</f>
        <v xml:space="preserve"> - </v>
      </c>
      <c r="BF12" s="762" t="str">
        <f>IF(ISNUMBER(Datos!BX12),Datos!BX12," - ")</f>
        <v xml:space="preserve"> - </v>
      </c>
      <c r="BG12" s="763" t="str">
        <f>IF(ISNUMBER(IF(J_V="SI",Datos!K12/Datos!J12,(Datos!K12+Datos!AA12)/(Datos!J12+Datos!Z12))),IF(J_V="SI",Datos!K12/Datos!J12,(Datos!K12+Datos!AA12)/(Datos!J12+Datos!Z12))," - ")</f>
        <v xml:space="preserve"> - </v>
      </c>
      <c r="BH12" s="764" t="str">
        <f>IF(ISNUMBER(((IF(J_V="SI",Datos!L12/Datos!K12,(Datos!L12+Datos!AB12)/(Datos!K12+Datos!AA12)))*11)/factor_trimestre),((IF(J_V="SI",Datos!L12/Datos!K12,(Datos!L12+Datos!AB12)/(Datos!K12+Datos!AA12)))*11)/factor_trimestre," - ")</f>
        <v xml:space="preserve"> - </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t="str">
        <f>IF(ISNUMBER((Datos!P12-Datos!Q12+Datos!DE12)/(Datos!R12-Datos!P12+Datos!Q12-Datos!DE12)),(Datos!P12-Datos!Q12+Datos!DE12)/(Datos!R12-Datos!P12+Datos!Q12-Datos!DE12)," - ")</f>
        <v xml:space="preserve"> - </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7</v>
      </c>
      <c r="F14" s="1197">
        <f t="shared" si="1"/>
        <v>78</v>
      </c>
      <c r="G14" s="1197">
        <f t="shared" si="1"/>
        <v>78</v>
      </c>
      <c r="H14" s="1198">
        <f t="shared" si="1"/>
        <v>0</v>
      </c>
      <c r="I14" s="1197">
        <f t="shared" si="1"/>
        <v>0</v>
      </c>
      <c r="J14" s="1164">
        <f t="shared" si="1"/>
        <v>0</v>
      </c>
      <c r="K14" s="1164">
        <f t="shared" si="1"/>
        <v>0</v>
      </c>
      <c r="L14" s="1198">
        <f t="shared" si="1"/>
        <v>0</v>
      </c>
      <c r="M14" s="1198">
        <f t="shared" si="1"/>
        <v>0</v>
      </c>
      <c r="N14" s="1198">
        <f t="shared" si="1"/>
        <v>470</v>
      </c>
      <c r="O14" s="1199">
        <f t="shared" si="1"/>
        <v>0</v>
      </c>
      <c r="P14" s="1199">
        <f t="shared" si="1"/>
        <v>0</v>
      </c>
      <c r="Q14" s="1198">
        <f t="shared" si="1"/>
        <v>499</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24</v>
      </c>
      <c r="AC14" s="1198">
        <f t="shared" si="2"/>
        <v>483</v>
      </c>
      <c r="AD14" s="1198">
        <f t="shared" si="2"/>
        <v>0</v>
      </c>
      <c r="AE14" s="1198">
        <f t="shared" si="2"/>
        <v>0</v>
      </c>
      <c r="AF14" s="1198">
        <f t="shared" si="2"/>
        <v>75</v>
      </c>
      <c r="AG14" s="1198">
        <f t="shared" si="2"/>
        <v>0</v>
      </c>
      <c r="AH14" s="1198">
        <f t="shared" si="2"/>
        <v>239</v>
      </c>
      <c r="AI14" s="1198">
        <f t="shared" si="2"/>
        <v>0</v>
      </c>
      <c r="AJ14" s="1198">
        <f t="shared" si="2"/>
        <v>0</v>
      </c>
      <c r="AK14" s="1198">
        <f t="shared" si="2"/>
        <v>0</v>
      </c>
      <c r="AL14" s="1198">
        <f t="shared" si="2"/>
        <v>0</v>
      </c>
      <c r="AM14" s="1198">
        <f t="shared" si="2"/>
        <v>7575</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733</v>
      </c>
      <c r="BD14" s="1198">
        <f t="shared" si="2"/>
        <v>1184</v>
      </c>
      <c r="BE14" s="1198">
        <f t="shared" si="2"/>
        <v>0</v>
      </c>
      <c r="BF14" s="1198">
        <f t="shared" si="2"/>
        <v>0</v>
      </c>
      <c r="BG14" s="1198">
        <f>IF(ISNUMBER(Datos!K14/Datos!J14),Datos!K14/Datos!J14," - ")</f>
        <v>1.1036585365853659</v>
      </c>
      <c r="BH14" s="1202">
        <f>IF(ISNUMBER(((Datos!L14/Datos!K14)*11)/factor_trimestre),((Datos!L14/Datos!K14)*11)/factor_trimestre," - ")</f>
        <v>4.3522099447513813</v>
      </c>
      <c r="BI14" s="1198">
        <f>IF(ISNUMBER('Resol  Asuntos'!D14/NºAsuntos!G14),'Resol  Asuntos'!D14/NºAsuntos!G14," - ")</f>
        <v>0.27775672603258811</v>
      </c>
      <c r="BJ14" s="1198" t="str">
        <f>IF(ISNUMBER(Datos!CI14/Datos!CJ14),Datos!CI14/Datos!CJ14," - ")</f>
        <v xml:space="preserve"> - </v>
      </c>
      <c r="BK14" s="1198">
        <f>SUBTOTAL(9,BK8:BK13)</f>
        <v>0</v>
      </c>
      <c r="BL14" s="1198">
        <f>IF(ISNUMBER((I14-AB14+L14)/(F14)),(I14-AB14+L14)/(F14)," - ")</f>
        <v>-0.30769230769230771</v>
      </c>
      <c r="BM14" s="1203">
        <f>SUBTOTAL(9,BM9:BM13)</f>
        <v>0.12723180858644201</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3</v>
      </c>
      <c r="B16" s="737" t="s">
        <v>511</v>
      </c>
      <c r="C16" s="749" t="str">
        <f>Datos!A16</f>
        <v xml:space="preserve">Jdos. Instrucción                               </v>
      </c>
      <c r="D16" s="750"/>
      <c r="E16" s="1555">
        <f>IF(ISNUMBER(Datos!AQ16),Datos!AQ16," - ")</f>
        <v>3</v>
      </c>
      <c r="F16" s="740">
        <f>IF(ISNUMBER(AF16+AB16-Datos!J16-L16),AF16+AB16-Datos!J16-L16," - ")</f>
        <v>1091</v>
      </c>
      <c r="G16" s="743">
        <f>IF(ISNUMBER(IF(D_I="SI",Datos!I16,Datos!I16+Datos!AC16)),IF(D_I="SI",Datos!I16,Datos!I16+Datos!AC16)," - ")</f>
        <v>1044</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65</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f>IF(ISNUMBER(IF(D_I="SI",Datos!K16,Datos!K16+Datos!AE16)),IF(D_I="SI",Datos!K16,Datos!K16+Datos!AE16)," - ")</f>
        <v>1454</v>
      </c>
      <c r="AC16" s="240">
        <f>IF(ISNUMBER(Datos!Q16),Datos!Q16," - ")</f>
        <v>92</v>
      </c>
      <c r="AD16" s="374"/>
      <c r="AE16" s="562"/>
      <c r="AF16" s="741">
        <f>IF(ISNUMBER(IF(D_I="SI",Datos!L16,Datos!L16+Datos!AF16)),IF(D_I="SI",Datos!L16,Datos!L16+Datos!AF16)," - ")</f>
        <v>1053</v>
      </c>
      <c r="AG16" s="374"/>
      <c r="AH16" s="374"/>
      <c r="AI16" s="374"/>
      <c r="AJ16" s="549"/>
      <c r="AK16" s="374"/>
      <c r="AL16" s="545"/>
      <c r="AM16" s="375">
        <f>IF(ISNUMBER(Datos!R16),Datos!R16," - ")</f>
        <v>174</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f>IF(ISNUMBER(Datos!M16),Datos!M16," - ")</f>
        <v>282</v>
      </c>
      <c r="BD16" s="243">
        <f>IF(ISNUMBER(Datos!N16),Datos!N16," - ")</f>
        <v>737</v>
      </c>
      <c r="BE16" s="243" t="str">
        <f>IF(ISNUMBER(Datos!BW16),Datos!BW16," - ")</f>
        <v xml:space="preserve"> - </v>
      </c>
      <c r="BF16" s="242" t="str">
        <f>IF(ISNUMBER(Datos!BX16),Datos!BX16," - ")</f>
        <v xml:space="preserve"> - </v>
      </c>
      <c r="BG16" s="763">
        <f>IF(ISNUMBER(IF(D_I="SI",Datos!K16/Datos!J16,(Datos!K16+Datos!AE16)/(Datos!J16+Datos!AD16))),IF(D_I="SI",Datos!K16/Datos!J16,(Datos!K16+Datos!AE16)/(Datos!J16+Datos!AD16))," - ")</f>
        <v>1.0268361581920904</v>
      </c>
      <c r="BH16" s="764">
        <f>IF(ISNUMBER(((IF(D_I="SI",Datos!L16/Datos!K16,(Datos!L16+Datos!AF16)/(Datos!K16+Datos!AE16)))*11)/factor_trimestre),((IF(D_I="SI",Datos!L16/Datos!K16,(Datos!L16+Datos!AF16)/(Datos!K16+Datos!AE16)))*11)/factor_trimestre," - ")</f>
        <v>2.1726272352132048</v>
      </c>
      <c r="BI16" s="266">
        <f>IF(ISNUMBER('Resol  Asuntos'!D16/NºAsuntos!G16),'Resol  Asuntos'!D16/NºAsuntos!G16," - ")</f>
        <v>0.19394773039889959</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0</v>
      </c>
      <c r="B17" s="737" t="s">
        <v>511</v>
      </c>
      <c r="C17" s="749" t="str">
        <f>Datos!A17</f>
        <v xml:space="preserve">Jdos. 1ª Instª. e Instr.                        </v>
      </c>
      <c r="D17" s="750"/>
      <c r="E17" s="1555">
        <f>IF(ISNUMBER(Datos!AQ17),Datos!AQ17," - ")</f>
        <v>0</v>
      </c>
      <c r="F17" s="740">
        <f>IF(ISNUMBER(AF17+AB17-Datos!J17-L17),AF17+AB17-Datos!J17-L17," - ")</f>
        <v>1</v>
      </c>
      <c r="G17" s="743">
        <f>IF(ISNUMBER(IF(D_I="SI",Datos!I17,Datos!I17+Datos!AC17)),IF(D_I="SI",Datos!I17,Datos!I17+Datos!AC17)," - ")</f>
        <v>1</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0</v>
      </c>
      <c r="AC17" s="240">
        <f>IF(ISNUMBER(Datos!Q17),Datos!Q17," - ")</f>
        <v>0</v>
      </c>
      <c r="AD17" s="374"/>
      <c r="AE17" s="562"/>
      <c r="AF17" s="741">
        <f>IF(ISNUMBER(IF(D_I="SI",Datos!L17,Datos!L17+Datos!AF17)),IF(D_I="SI",Datos!L17,Datos!L17+Datos!AF17)," - ")</f>
        <v>1</v>
      </c>
      <c r="AG17" s="374"/>
      <c r="AH17" s="374"/>
      <c r="AI17" s="374"/>
      <c r="AJ17" s="549"/>
      <c r="AK17" s="374"/>
      <c r="AL17" s="545"/>
      <c r="AM17" s="375">
        <f>IF(ISNUMBER(Datos!R17),Datos!R17," - ")</f>
        <v>0</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0</v>
      </c>
      <c r="BD17" s="243">
        <f>IF(ISNUMBER(Datos!N17),Datos!N17," - ")</f>
        <v>0</v>
      </c>
      <c r="BE17" s="243" t="str">
        <f>IF(ISNUMBER(Datos!BW17),Datos!BW17," - ")</f>
        <v xml:space="preserve"> - </v>
      </c>
      <c r="BF17" s="242" t="str">
        <f>IF(ISNUMBER(Datos!BX17),Datos!BX17," - ")</f>
        <v xml:space="preserve"> - </v>
      </c>
      <c r="BG17" s="763" t="str">
        <f>IF(ISNUMBER(IF(D_I="SI",Datos!K17/Datos!J17,(Datos!K17+Datos!AE17)/(Datos!J17+Datos!AD17))),IF(D_I="SI",Datos!K17/Datos!J17,(Datos!K17+Datos!AE17)/(Datos!J17+Datos!AD17))," - ")</f>
        <v xml:space="preserve"> - </v>
      </c>
      <c r="BH17" s="764" t="str">
        <f>IF(ISNUMBER(((IF(D_I="SI",Datos!L17/Datos!K17,(Datos!L17+Datos!AF17)/(Datos!K17+Datos!AE17)))*11)/factor_trimestre),((IF(D_I="SI",Datos!L17/Datos!K17,(Datos!L17+Datos!AF17)/(Datos!K17+Datos!AE17)))*11)/factor_trimestre," - ")</f>
        <v xml:space="preserve"> - </v>
      </c>
      <c r="BI17" s="266" t="str">
        <f>IF(ISNUMBER('Resol  Asuntos'!D17/NºAsuntos!G17),'Resol  Asuntos'!D17/NºAsuntos!G17," - ")</f>
        <v xml:space="preserve"> - </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199</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8</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275</v>
      </c>
      <c r="AC18" s="547">
        <f>IF(ISNUMBER(Datos!Q18),Datos!Q18," - ")</f>
        <v>4</v>
      </c>
      <c r="AD18" s="549"/>
      <c r="AE18" s="562"/>
      <c r="AF18" s="551">
        <f>IF(ISNUMBER(Datos!L18),Datos!L18,"-")</f>
        <v>218</v>
      </c>
      <c r="AG18" s="549"/>
      <c r="AH18" s="549"/>
      <c r="AI18" s="549"/>
      <c r="AJ18" s="549"/>
      <c r="AK18" s="549"/>
      <c r="AL18" s="550"/>
      <c r="AM18" s="766">
        <f>IF(ISNUMBER(Datos!R18),Datos!R18," - ")</f>
        <v>10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73</v>
      </c>
      <c r="BD18" s="693">
        <f>IF(ISNUMBER(Datos!N18),Datos!N18," - ")</f>
        <v>138</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0.93537414965986398</v>
      </c>
      <c r="BH18" s="764">
        <f>IF(ISNUMBER(((IF(D_I="SI",Datos!L18/Datos!K18,(Datos!L18+Datos!AF18)/(Datos!K18+Datos!AE18)))*11)/factor_trimestre),((IF(D_I="SI",Datos!L18/Datos!K18,(Datos!L18+Datos!AF18)/(Datos!K18+Datos!AE18)))*11)/factor_trimestre," - ")</f>
        <v>2.3781818181818184</v>
      </c>
      <c r="BI18" s="763">
        <f>IF(ISNUMBER('Resol  Asuntos'!D18/NºAsuntos!G18),'Resol  Asuntos'!D18/NºAsuntos!G18," - ")</f>
        <v>0.26545454545454544</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3</v>
      </c>
      <c r="F23" s="1197">
        <f>SUBTOTAL(9,F16:F22)</f>
        <v>1092</v>
      </c>
      <c r="G23" s="1197">
        <f>SUBTOTAL(9,G16:G22)</f>
        <v>1244</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73</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1729</v>
      </c>
      <c r="AC23" s="1198">
        <f t="shared" si="5"/>
        <v>96</v>
      </c>
      <c r="AD23" s="1198">
        <f t="shared" si="5"/>
        <v>0</v>
      </c>
      <c r="AE23" s="1198">
        <f t="shared" si="5"/>
        <v>0</v>
      </c>
      <c r="AF23" s="1198">
        <f t="shared" si="5"/>
        <v>1272</v>
      </c>
      <c r="AG23" s="1198">
        <f t="shared" si="5"/>
        <v>0</v>
      </c>
      <c r="AH23" s="1198">
        <f t="shared" si="5"/>
        <v>0</v>
      </c>
      <c r="AI23" s="1198">
        <f t="shared" si="5"/>
        <v>0</v>
      </c>
      <c r="AJ23" s="1198">
        <f t="shared" si="5"/>
        <v>0</v>
      </c>
      <c r="AK23" s="1198">
        <f t="shared" si="5"/>
        <v>0</v>
      </c>
      <c r="AL23" s="1198">
        <f t="shared" si="5"/>
        <v>0</v>
      </c>
      <c r="AM23" s="1198">
        <f t="shared" si="5"/>
        <v>184</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355</v>
      </c>
      <c r="BD23" s="1198">
        <f t="shared" si="5"/>
        <v>875</v>
      </c>
      <c r="BE23" s="1198">
        <f t="shared" si="5"/>
        <v>0</v>
      </c>
      <c r="BF23" s="1198">
        <f t="shared" si="5"/>
        <v>0</v>
      </c>
      <c r="BG23" s="1198">
        <f>IF(ISNUMBER(Datos!K23/Datos!J23),Datos!K23/Datos!J23," - ")</f>
        <v>1.0111111111111111</v>
      </c>
      <c r="BH23" s="1202">
        <f>IF(ISNUMBER(((Datos!L23/Datos!K23)*11)/factor_trimestre),((Datos!L23/Datos!K23)*11)/factor_trimestre," - ")</f>
        <v>2.207056101792944</v>
      </c>
      <c r="BI23" s="1198">
        <f>SUBTOTAL(9,BI16:BI22)</f>
        <v>0.45940227585344506</v>
      </c>
      <c r="BJ23" s="1198">
        <f>SUBTOTAL(9,BJ16:BJ22)</f>
        <v>0</v>
      </c>
      <c r="BK23" s="1198">
        <f>SUBTOTAL(9,BK16:BK22)</f>
        <v>0</v>
      </c>
      <c r="BL23" s="1198">
        <f>IF(ISNUMBER((I23-AB23+L23)/(F23)),(I23-AB23+L23)/(F23)," - ")</f>
        <v>-1.5833333333333333</v>
      </c>
      <c r="BM23" s="1205">
        <f>IF(ISNUMBER((Datos!P23-Datos!Q23)/(Datos!R23-Datos!P23+Datos!Q23)),(Datos!P23-Datos!Q23)/(Datos!R23-Datos!P23+Datos!Q23)," - ")</f>
        <v>-0.1111111111111111</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10</v>
      </c>
      <c r="F31" s="1117">
        <f t="shared" si="18"/>
        <v>1170</v>
      </c>
      <c r="G31" s="1117">
        <f t="shared" si="18"/>
        <v>1322</v>
      </c>
      <c r="H31" s="1119">
        <f t="shared" si="18"/>
        <v>0</v>
      </c>
      <c r="I31" s="1117">
        <f t="shared" si="18"/>
        <v>0</v>
      </c>
      <c r="J31" s="1119">
        <f t="shared" si="18"/>
        <v>0</v>
      </c>
      <c r="K31" s="1119">
        <f t="shared" si="18"/>
        <v>0</v>
      </c>
      <c r="L31" s="1180">
        <f t="shared" si="18"/>
        <v>0</v>
      </c>
      <c r="M31" s="1180">
        <f t="shared" si="18"/>
        <v>0</v>
      </c>
      <c r="N31" s="1180">
        <f t="shared" si="18"/>
        <v>470</v>
      </c>
      <c r="O31" s="1180">
        <f t="shared" si="18"/>
        <v>0</v>
      </c>
      <c r="P31" s="1180">
        <f t="shared" si="18"/>
        <v>0</v>
      </c>
      <c r="Q31" s="1119">
        <f t="shared" si="18"/>
        <v>572</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1753</v>
      </c>
      <c r="AC31" s="1118">
        <f t="shared" si="19"/>
        <v>579</v>
      </c>
      <c r="AD31" s="1118">
        <f t="shared" si="19"/>
        <v>0</v>
      </c>
      <c r="AE31" s="1118">
        <f t="shared" si="19"/>
        <v>0</v>
      </c>
      <c r="AF31" s="1125">
        <f t="shared" si="19"/>
        <v>1347</v>
      </c>
      <c r="AG31" s="1125">
        <f t="shared" si="19"/>
        <v>0</v>
      </c>
      <c r="AH31" s="1125">
        <f t="shared" si="19"/>
        <v>239</v>
      </c>
      <c r="AI31" s="1125">
        <f t="shared" si="19"/>
        <v>0</v>
      </c>
      <c r="AJ31" s="1118">
        <f t="shared" si="19"/>
        <v>0</v>
      </c>
      <c r="AK31" s="1125">
        <f t="shared" si="19"/>
        <v>0</v>
      </c>
      <c r="AL31" s="1125">
        <f t="shared" si="19"/>
        <v>0</v>
      </c>
      <c r="AM31" s="1125">
        <f t="shared" si="19"/>
        <v>7759</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1088</v>
      </c>
      <c r="BD31" s="1117">
        <f t="shared" si="19"/>
        <v>2059</v>
      </c>
      <c r="BE31" s="1117">
        <f t="shared" si="19"/>
        <v>0</v>
      </c>
      <c r="BF31" s="1127">
        <f t="shared" si="19"/>
        <v>0</v>
      </c>
      <c r="BG31" s="1223">
        <f>IF(ISNUMBER(Datos!K31/Datos!J31),Datos!K31/Datos!J31," - ")</f>
        <v>1.0606307775965198</v>
      </c>
      <c r="BH31" s="1223">
        <f>IF(ISNUMBER(((Datos!L31/Datos!K31)*11)/factor_trimestre),((Datos!L31/Datos!K31)*11)/factor_trimestre," - ")</f>
        <v>3.4014355293514491</v>
      </c>
      <c r="BI31" s="1103">
        <f>IF(ISNUMBER(Datos!J31/Datos!I31),Datos!J31/Datos!I31," - ")</f>
        <v>0.8013071895424837</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-1.4982905982905983</v>
      </c>
      <c r="BM31" s="1188">
        <f>IF(ISNUMBER((Datos!P31-Datos!Q31+R31)/(Datos!R31-Datos!P31+Datos!Q31-R31)),(Datos!P31-Datos!Q31+R31)/(Datos!R31-Datos!P31+Datos!Q31-R31)," - ")</f>
        <v>-9.0136492402781356E-4</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330.5</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2.1466688460270076</v>
      </c>
      <c r="F33" s="673">
        <f>IF(ISNUMBER(STDEV(F8:F30)),STDEV(F8:F30),"-")</f>
        <v>518.44084017552552</v>
      </c>
      <c r="G33" s="674">
        <f>IF(ISNUMBER(STDEV(G8:G30)),STDEV(G8:G30),"-")</f>
        <v>509.25716209284394</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721.48948116280349</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269.30659933325887</v>
      </c>
      <c r="BD33" s="673"/>
      <c r="BE33" s="673">
        <f>IF(ISNUMBER(STDEV(BE8:BE30)),STDEV(BE8:BE30),"-")</f>
        <v>0</v>
      </c>
      <c r="BF33" s="678">
        <f>IF(ISNUMBER(STDEV(BF8:BF30)),STDEV(BF8:BF30),"-")</f>
        <v>0</v>
      </c>
      <c r="BG33" s="1052">
        <f>IF(ISNUMBER(STDEV(BG8:BG30)),STDEV(BG8:BG30),"-")</f>
        <v>6.947709451844955E-2</v>
      </c>
      <c r="BH33" s="1058">
        <f>IF(ISNUMBER(STDEV(BH8:BH30)),STDEV(BH8:BH30),"-")</f>
        <v>2.5251626989952554</v>
      </c>
      <c r="BI33" s="273">
        <f>IF(ISNUMBER(STDEV(BI8:BI30)),STDEV(BI8:BI30),"-")</f>
        <v>0.11305067432888576</v>
      </c>
      <c r="BJ33" s="244" t="str">
        <f>IF(ISNUMBER(BL33/BM33),BL33/BM33," - ")</f>
        <v xml:space="preserve"> - </v>
      </c>
      <c r="BK33" s="709"/>
      <c r="BL33" s="681">
        <f>IF(ISNUMBER(STDEV(BL8:BL30)),STDEV(BL8:BL30),"-")</f>
        <v>0.90201441959053175</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deG1G0RaljaVP8EoHgd2/5XTehrQ/7ejjVQPrKHBc0ww7ywMS66968n0qs8IqMl2xKnYch0Sm0BOMbQi0X0FtQ==" saltValue="RqubztnQleqbGd6d3mhni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GALICIA</v>
      </c>
    </row>
    <row r="2" spans="1:73" ht="16.5" customHeight="1">
      <c r="C2" s="647" t="str">
        <f>Criterios!A10 &amp;"  "&amp;Criterios!B10 &amp; "  " &amp; IF(NOT(ISBLANK(Criterios!A11)),Criterios!A11 &amp;"  "&amp;Criterios!B11,"")</f>
        <v>Provincias  OURENSE  Resumenes por Partidos Judiciales  OURENSE</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2 al 2</v>
      </c>
      <c r="D5" s="1925" t="s">
        <v>491</v>
      </c>
      <c r="E5" s="1882" t="s">
        <v>749</v>
      </c>
      <c r="F5" s="1893" t="s">
        <v>527</v>
      </c>
      <c r="G5" s="1882" t="s">
        <v>173</v>
      </c>
      <c r="H5" s="1882" t="s">
        <v>782</v>
      </c>
      <c r="I5" s="1882" t="s">
        <v>750</v>
      </c>
      <c r="J5" s="1882" t="s">
        <v>887</v>
      </c>
      <c r="K5" s="1882" t="s">
        <v>751</v>
      </c>
      <c r="L5" s="1882" t="s">
        <v>780</v>
      </c>
      <c r="M5" s="1882" t="s">
        <v>889</v>
      </c>
      <c r="N5" s="1882" t="s">
        <v>777</v>
      </c>
      <c r="O5" s="1882" t="s">
        <v>811</v>
      </c>
      <c r="P5" s="1888" t="s">
        <v>879</v>
      </c>
      <c r="Q5" s="1888" t="s">
        <v>882</v>
      </c>
      <c r="R5" s="1882" t="s">
        <v>786</v>
      </c>
      <c r="S5" s="1882" t="s">
        <v>752</v>
      </c>
      <c r="T5" s="1882" t="s">
        <v>1035</v>
      </c>
      <c r="U5" s="1882" t="s">
        <v>1036</v>
      </c>
      <c r="V5" s="1902" t="s">
        <v>870</v>
      </c>
      <c r="W5" s="1899" t="s">
        <v>766</v>
      </c>
      <c r="X5" s="1917" t="s">
        <v>767</v>
      </c>
      <c r="Y5" s="1920" t="s">
        <v>787</v>
      </c>
      <c r="Z5" s="1920" t="s">
        <v>812</v>
      </c>
      <c r="AA5" s="1882" t="s">
        <v>756</v>
      </c>
      <c r="AB5" s="1882" t="s">
        <v>768</v>
      </c>
      <c r="AC5" s="1882" t="s">
        <v>769</v>
      </c>
      <c r="AD5" s="1882" t="s">
        <v>709</v>
      </c>
      <c r="AE5" s="1882" t="s">
        <v>890</v>
      </c>
      <c r="AF5" s="1882" t="s">
        <v>243</v>
      </c>
      <c r="AG5" s="1882" t="s">
        <v>770</v>
      </c>
      <c r="AH5" s="1882" t="s">
        <v>757</v>
      </c>
      <c r="AI5" s="1882" t="s">
        <v>758</v>
      </c>
      <c r="AJ5" s="1882" t="s">
        <v>771</v>
      </c>
      <c r="AK5" s="1882" t="s">
        <v>772</v>
      </c>
      <c r="AL5" s="1882" t="s">
        <v>773</v>
      </c>
      <c r="AM5" s="1914" t="s">
        <v>774</v>
      </c>
      <c r="AN5" s="1882" t="s">
        <v>324</v>
      </c>
      <c r="AO5" s="1882" t="s">
        <v>760</v>
      </c>
      <c r="AP5" s="1882" t="s">
        <v>761</v>
      </c>
      <c r="AQ5" s="1882" t="s">
        <v>788</v>
      </c>
      <c r="AR5" s="1882" t="s">
        <v>789</v>
      </c>
      <c r="AS5" s="1882" t="s">
        <v>791</v>
      </c>
      <c r="AT5" s="1882" t="s">
        <v>784</v>
      </c>
      <c r="AU5" s="1882" t="s">
        <v>1112</v>
      </c>
      <c r="AV5" s="1882" t="s">
        <v>436</v>
      </c>
      <c r="AW5" s="1882" t="s">
        <v>775</v>
      </c>
      <c r="AX5" s="1882" t="s">
        <v>714</v>
      </c>
      <c r="BU5" s="1882" t="s">
        <v>1037</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790</v>
      </c>
      <c r="B9" s="745" t="s">
        <v>321</v>
      </c>
      <c r="C9" s="765" t="str">
        <f>Datos!A9</f>
        <v xml:space="preserve">Jdos. 1ª Instancia   </v>
      </c>
      <c r="D9" s="593"/>
      <c r="E9" s="1558">
        <f>IF(ISNUMBER(Datos!AQ9),Datos!AQ9," - ")</f>
        <v>6</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453</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f>IF(ISNUMBER(Datos!Q9),Datos!Q9," - ")</f>
        <v>459</v>
      </c>
      <c r="AA9" s="551" t="str">
        <f>IF(ISNUMBER(IF(J_V="SI",Datos!L9,Datos!L9+Datos!AB9)-IF(Monitorios="SI",Datos!CD9,0)),
                          IF(J_V="SI",Datos!L9,Datos!L9+Datos!AB9)-IF(Monitorios="SI",Datos!CD9,0),
                          " - ")</f>
        <v xml:space="preserve"> - </v>
      </c>
      <c r="AB9" s="549"/>
      <c r="AC9" s="549"/>
      <c r="AD9" s="563"/>
      <c r="AE9" s="563">
        <f>IF(ISNUMBER(Datos!R9),Datos!R9," - ")</f>
        <v>6620</v>
      </c>
      <c r="AF9" s="693" t="str">
        <f>IF(ISNUMBER(Datos!BV9),Datos!BV9," - ")</f>
        <v xml:space="preserve"> - </v>
      </c>
      <c r="AG9" s="552" t="str">
        <f>IF(ISNUMBER(Datos!DV9),Datos!DV9," - ")</f>
        <v xml:space="preserve"> - </v>
      </c>
      <c r="AH9" s="553"/>
      <c r="AI9" s="554"/>
      <c r="AJ9" s="552">
        <f>IF(ISNUMBER(Datos!M9),Datos!M9," - ")</f>
        <v>602</v>
      </c>
      <c r="AK9" s="693">
        <f>IF(ISNUMBER(Datos!N9),Datos!N9," - ")</f>
        <v>773</v>
      </c>
      <c r="AL9" s="693" t="str">
        <f>IF(ISNUMBER(Datos!BW9),Datos!BW9," - ")</f>
        <v xml:space="preserve"> - </v>
      </c>
      <c r="AM9" s="762" t="str">
        <f>IF(ISNUMBER(Datos!BX9),Datos!BX9," - ")</f>
        <v xml:space="preserve"> - </v>
      </c>
      <c r="AN9" s="763"/>
      <c r="AO9" s="764">
        <f>IF(ISNUMBER(((NºAsuntos!I9/NºAsuntos!G9)*11)/factor_trimestre),((NºAsuntos!I9/NºAsuntos!G9)*11)/factor_trimestre," - ")</f>
        <v>3.7811264822134389</v>
      </c>
      <c r="AP9" s="555" t="str">
        <f>IF(ISNUMBER(Datos!CI9/Datos!CJ9),Datos!CI9/Datos!CJ9," - ")</f>
        <v xml:space="preserve"> - </v>
      </c>
      <c r="AQ9" s="555" t="str">
        <f>IF(ISNUMBER((J9-Y9+K9)/(F9)),(J9-Y9+K9)/(F9)," - ")</f>
        <v xml:space="preserve"> - </v>
      </c>
      <c r="AR9" s="555">
        <f>IF(ISNUMBER((Datos!P9-Datos!Q9+Datos!DE9)/(Datos!R9-Datos!P9+Datos!Q9-Datos!DE9)),(Datos!P9-Datos!Q9+Datos!DE9)/(Datos!R9-Datos!P9+Datos!Q9-Datos!DE9)," - ")</f>
        <v>-9.0552369453667371E-4</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78</v>
      </c>
      <c r="G10" s="552">
        <f>IF(ISNUMBER(Datos!I10),Datos!I10," - ")</f>
        <v>78</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8</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24</v>
      </c>
      <c r="Z10" s="805">
        <f>IF(ISNUMBER(Datos!Q10),Datos!Q10," - ")</f>
        <v>5</v>
      </c>
      <c r="AA10" s="551">
        <f>IF(ISNUMBER(Datos!L10),Datos!L10,"-")</f>
        <v>75</v>
      </c>
      <c r="AB10" s="549"/>
      <c r="AC10" s="549"/>
      <c r="AD10" s="563"/>
      <c r="AE10" s="563">
        <f>IF(ISNUMBER(Datos!R10),Datos!R10," - ")</f>
        <v>31</v>
      </c>
      <c r="AF10" s="693" t="str">
        <f>IF(ISNUMBER(Datos!BV10),Datos!BV10," - ")</f>
        <v xml:space="preserve"> - </v>
      </c>
      <c r="AG10" s="552" t="str">
        <f>IF(ISNUMBER(Datos!DV10),Datos!DV10," - ")</f>
        <v xml:space="preserve"> - </v>
      </c>
      <c r="AH10" s="553"/>
      <c r="AI10" s="554"/>
      <c r="AJ10" s="552">
        <f>IF(ISNUMBER(Datos!M10),Datos!M10," - ")</f>
        <v>6</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9.375</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0.10714285714285714</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1</v>
      </c>
      <c r="B11" s="746" t="s">
        <v>321</v>
      </c>
      <c r="C11" s="747" t="str">
        <f>Datos!A11</f>
        <v xml:space="preserve">Jdos. Familia                                   </v>
      </c>
      <c r="D11" s="601"/>
      <c r="E11" s="1558">
        <f>IF(ISNUMBER(Datos!AQ11),Datos!AQ11," - ")</f>
        <v>1</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38</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f>IF(ISNUMBER(Datos!Q11),Datos!Q11," - ")</f>
        <v>19</v>
      </c>
      <c r="AA11" s="551" t="str">
        <f>IF(ISNUMBER(IF(J_V="SI",Datos!L11,Datos!L11+Datos!AB11)-IF(Monitorios="SI",Datos!CD11,0)),
                          IF(J_V="SI",Datos!L11,Datos!L11+Datos!AB11)-IF(Monitorios="SI",Datos!CD11,0),
                          " - ")</f>
        <v xml:space="preserve"> - </v>
      </c>
      <c r="AB11" s="549"/>
      <c r="AC11" s="549"/>
      <c r="AD11" s="563"/>
      <c r="AE11" s="563">
        <f>IF(ISNUMBER(Datos!R11),Datos!R11," - ")</f>
        <v>924</v>
      </c>
      <c r="AF11" s="693" t="str">
        <f>IF(ISNUMBER(Datos!BV11),Datos!BV11," - ")</f>
        <v xml:space="preserve"> - </v>
      </c>
      <c r="AG11" s="552" t="str">
        <f>IF(ISNUMBER(Datos!DV11),Datos!DV11," - ")</f>
        <v xml:space="preserve"> - </v>
      </c>
      <c r="AH11" s="553"/>
      <c r="AI11" s="554"/>
      <c r="AJ11" s="552">
        <f>IF(ISNUMBER(Datos!M11),Datos!M11," - ")</f>
        <v>125</v>
      </c>
      <c r="AK11" s="693">
        <f>IF(ISNUMBER(Datos!N11),Datos!N11," - ")</f>
        <v>411</v>
      </c>
      <c r="AL11" s="693" t="str">
        <f>IF(ISNUMBER(Datos!BW11),Datos!BW11," - ")</f>
        <v xml:space="preserve"> - </v>
      </c>
      <c r="AM11" s="762" t="str">
        <f>IF(ISNUMBER(Datos!BX11),Datos!BX11," - ")</f>
        <v xml:space="preserve"> - </v>
      </c>
      <c r="AN11" s="763"/>
      <c r="AO11" s="764">
        <f>IF(ISNUMBER(((NºAsuntos!I11/NºAsuntos!G11)*11)/factor_trimestre),((NºAsuntos!I11/NºAsuntos!G11)*11)/factor_trimestre," - ")</f>
        <v>3.8781725888324878</v>
      </c>
      <c r="AP11" s="555" t="str">
        <f>IF(ISNUMBER(Datos!CI11/Datos!CJ11),Datos!CI11/Datos!CJ11," - ")</f>
        <v xml:space="preserve"> - </v>
      </c>
      <c r="AQ11" s="555" t="str">
        <f>IF(ISNUMBER((J11-Y11+K11)/(F11)),(J11-Y11+K11)/(F11)," - ")</f>
        <v xml:space="preserve"> - </v>
      </c>
      <c r="AR11" s="555">
        <f>IF(ISNUMBER((Datos!P11-Datos!Q11+Datos!DE11)/(Datos!R11-Datos!P11+Datos!Q11-Datos!DE11)),(Datos!P11-Datos!Q11+Datos!DE11)/(Datos!R11-Datos!P11+Datos!Q11-Datos!DE11)," - ")</f>
        <v>2.0994475138121547E-2</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0</v>
      </c>
      <c r="B12" s="746" t="s">
        <v>321</v>
      </c>
      <c r="C12" s="747" t="str">
        <f>Datos!A12</f>
        <v xml:space="preserve">Jdos. 1ª Instª. e Instr.                        </v>
      </c>
      <c r="D12" s="601"/>
      <c r="E12" s="1558">
        <f>IF(ISNUMBER(Datos!AQ12),Datos!AQ12," - ")</f>
        <v>0</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0</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t="str">
        <f>IF(ISNUMBER(Datos!Q12),Datos!Q12," - ")</f>
        <v xml:space="preserve"> - </v>
      </c>
      <c r="AA12" s="551" t="str">
        <f>IF(ISNUMBER(IF(J_V="SI",Datos!L12,Datos!L12+Datos!AB12)-IF(Monitorios="SI",Datos!CD12,0)),
                          IF(J_V="SI",Datos!L12,Datos!L12+Datos!AB12)-IF(Monitorios="SI",Datos!CD12,0),
                          " - ")</f>
        <v xml:space="preserve"> - </v>
      </c>
      <c r="AB12" s="549"/>
      <c r="AC12" s="549"/>
      <c r="AD12" s="563"/>
      <c r="AE12" s="563" t="str">
        <f>IF(ISNUMBER(Datos!R12),Datos!R12," - ")</f>
        <v xml:space="preserve"> - </v>
      </c>
      <c r="AF12" s="693" t="str">
        <f>IF(ISNUMBER(Datos!BV12),Datos!BV12," - ")</f>
        <v xml:space="preserve"> - </v>
      </c>
      <c r="AG12" s="552" t="str">
        <f>IF(ISNUMBER(Datos!DV12),Datos!DV12," - ")</f>
        <v xml:space="preserve"> - </v>
      </c>
      <c r="AH12" s="553"/>
      <c r="AI12" s="554"/>
      <c r="AJ12" s="552" t="str">
        <f>IF(ISNUMBER(Datos!M12),Datos!M12," - ")</f>
        <v xml:space="preserve"> - </v>
      </c>
      <c r="AK12" s="693" t="str">
        <f>IF(ISNUMBER(Datos!N12),Datos!N12," - ")</f>
        <v xml:space="preserve"> - </v>
      </c>
      <c r="AL12" s="693" t="str">
        <f>IF(ISNUMBER(Datos!BW12),Datos!BW12," - ")</f>
        <v xml:space="preserve"> - </v>
      </c>
      <c r="AM12" s="762" t="str">
        <f>IF(ISNUMBER(Datos!BX12),Datos!BX12," - ")</f>
        <v xml:space="preserve"> - </v>
      </c>
      <c r="AN12" s="763"/>
      <c r="AO12" s="764" t="str">
        <f>IF(ISNUMBER(((NºAsuntos!I12/NºAsuntos!G12)*11)/factor_trimestre),((NºAsuntos!I12/NºAsuntos!G12)*11)/factor_trimestre," - ")</f>
        <v xml:space="preserve"> - </v>
      </c>
      <c r="AP12" s="555" t="str">
        <f>IF(ISNUMBER(Datos!CI12/Datos!CJ12),Datos!CI12/Datos!CJ12," - ")</f>
        <v xml:space="preserve"> - </v>
      </c>
      <c r="AQ12" s="555" t="str">
        <f>IF(ISNUMBER((J12-Y12+K12)/(F12)),(J12-Y12+K12)/(F12)," - ")</f>
        <v xml:space="preserve"> - </v>
      </c>
      <c r="AR12" s="555" t="str">
        <f>IF(ISNUMBER((Datos!P12-Datos!Q12+Datos!DE12)/(Datos!R12-Datos!P12+Datos!Q12-Datos!DE12)),(Datos!P12-Datos!Q12+Datos!DE12)/(Datos!R12-Datos!P12+Datos!Q12-Datos!DE12)," - ")</f>
        <v xml:space="preserve"> - </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7</v>
      </c>
      <c r="F14" s="1197">
        <f>SUBTOTAL(9,F8:F13)</f>
        <v>78</v>
      </c>
      <c r="G14" s="1197">
        <f>SUBTOTAL(9,G8:G13)</f>
        <v>78</v>
      </c>
      <c r="H14" s="1211"/>
      <c r="I14" s="1197">
        <f t="shared" ref="I14:N14" si="1">SUBTOTAL(9,I8:I13)</f>
        <v>0</v>
      </c>
      <c r="J14" s="1164">
        <f t="shared" si="1"/>
        <v>0</v>
      </c>
      <c r="K14" s="1211">
        <f t="shared" si="1"/>
        <v>0</v>
      </c>
      <c r="L14" s="1211">
        <f t="shared" si="1"/>
        <v>0</v>
      </c>
      <c r="M14" s="1211">
        <f t="shared" si="1"/>
        <v>0</v>
      </c>
      <c r="N14" s="1211">
        <f t="shared" si="1"/>
        <v>499</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24</v>
      </c>
      <c r="Z14" s="1210">
        <f t="shared" si="3"/>
        <v>483</v>
      </c>
      <c r="AA14" s="1199">
        <f t="shared" si="3"/>
        <v>75</v>
      </c>
      <c r="AB14" s="1199">
        <f t="shared" si="3"/>
        <v>0</v>
      </c>
      <c r="AC14" s="1199">
        <f t="shared" si="3"/>
        <v>0</v>
      </c>
      <c r="AD14" s="1199">
        <f t="shared" si="3"/>
        <v>0</v>
      </c>
      <c r="AE14" s="1199">
        <f t="shared" si="3"/>
        <v>7575</v>
      </c>
      <c r="AF14" s="1211">
        <f t="shared" si="3"/>
        <v>0</v>
      </c>
      <c r="AG14" s="1211">
        <f t="shared" si="3"/>
        <v>0</v>
      </c>
      <c r="AH14" s="1211">
        <f t="shared" si="3"/>
        <v>0</v>
      </c>
      <c r="AI14" s="1211">
        <f t="shared" si="3"/>
        <v>0</v>
      </c>
      <c r="AJ14" s="1211">
        <f t="shared" si="3"/>
        <v>733</v>
      </c>
      <c r="AK14" s="1211">
        <f t="shared" si="3"/>
        <v>1184</v>
      </c>
      <c r="AL14" s="1211">
        <f t="shared" si="3"/>
        <v>0</v>
      </c>
      <c r="AM14" s="1211">
        <f t="shared" si="3"/>
        <v>0</v>
      </c>
      <c r="AN14" s="1211">
        <f t="shared" si="3"/>
        <v>0</v>
      </c>
      <c r="AO14" s="1203">
        <f>IF(ISNUMBER(((NºAsuntos!I14/NºAsuntos!G14)*11)/factor_trimestre),((NºAsuntos!I14/NºAsuntos!G14)*11)/factor_trimestre," - ")</f>
        <v>3.8537324744221295</v>
      </c>
      <c r="AP14" s="1213" t="str">
        <f>IF(ISNUMBER(Datos!CI14/Datos!CJ14),Datos!CI14/Datos!CJ14," - ")</f>
        <v xml:space="preserve"> - </v>
      </c>
      <c r="AQ14" s="1236">
        <f t="shared" ref="AQ14:AV14" si="4">SUBTOTAL(9,AQ9:AQ13)</f>
        <v>0</v>
      </c>
      <c r="AR14" s="1236">
        <f t="shared" si="4"/>
        <v>0.12723180858644201</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3</v>
      </c>
      <c r="B16" s="746" t="s">
        <v>511</v>
      </c>
      <c r="C16" s="765" t="str">
        <f>Datos!A16</f>
        <v xml:space="preserve">Jdos. Instrucción                               </v>
      </c>
      <c r="D16" s="593"/>
      <c r="E16" s="1558">
        <f>IF(ISNUMBER(Datos!AQ16),Datos!AQ16," - ")</f>
        <v>3</v>
      </c>
      <c r="F16" s="543">
        <f>IF(ISNUMBER(AA16+Y16-Datos!J16-K16),AA16+Y16-Datos!J16-K16," - ")</f>
        <v>1091</v>
      </c>
      <c r="G16" s="552">
        <f>IF(ISNUMBER(IF(D_I="SI",Datos!I16,Datos!I16+Datos!AC16)),IF(D_I="SI",Datos!I16,Datos!I16+Datos!AC16)," - ")</f>
        <v>1044</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65</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f>IF(ISNUMBER(IF(D_I="SI",Datos!K16,Datos!K16+Datos!AE16)),IF(D_I="SI",Datos!K16,Datos!K16+Datos!AE16)," - ")</f>
        <v>1454</v>
      </c>
      <c r="Z16" s="805">
        <f>IF(ISNUMBER(Datos!Q16),Datos!Q16," - ")</f>
        <v>92</v>
      </c>
      <c r="AA16" s="551">
        <f>IF(ISNUMBER(IF(D_I="SI",Datos!L16,Datos!L16+Datos!AF16)),IF(D_I="SI",Datos!L16,Datos!L16+Datos!AF16)," - ")</f>
        <v>1053</v>
      </c>
      <c r="AB16" s="549"/>
      <c r="AC16" s="549"/>
      <c r="AD16" s="563"/>
      <c r="AE16" s="563">
        <f>IF(ISNUMBER(Datos!R16),Datos!R16," - ")</f>
        <v>174</v>
      </c>
      <c r="AF16" s="693" t="str">
        <f>IF(ISNUMBER(Datos!BV16),Datos!BV16," - ")</f>
        <v xml:space="preserve"> - </v>
      </c>
      <c r="AG16" s="552"/>
      <c r="AH16" s="553"/>
      <c r="AI16" s="554"/>
      <c r="AJ16" s="552">
        <f>IF(ISNUMBER(Datos!M16),Datos!M16," - ")</f>
        <v>282</v>
      </c>
      <c r="AK16" s="693">
        <f>IF(ISNUMBER(Datos!N16),Datos!N16," - ")</f>
        <v>737</v>
      </c>
      <c r="AL16" s="693" t="str">
        <f>IF(ISNUMBER(Datos!BW16),Datos!BW16," - ")</f>
        <v xml:space="preserve"> - </v>
      </c>
      <c r="AM16" s="762" t="str">
        <f>IF(ISNUMBER(Datos!BX16),Datos!BX16," - ")</f>
        <v xml:space="preserve"> - </v>
      </c>
      <c r="AN16" s="763"/>
      <c r="AO16" s="764">
        <f>IF(ISNUMBER(((NºAsuntos!I16/NºAsuntos!G16)*11)/factor_trimestre),((NºAsuntos!I16/NºAsuntos!G16)*11)/factor_trimestre," - ")</f>
        <v>2.1726272352132048</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0</v>
      </c>
      <c r="B17" s="746" t="s">
        <v>511</v>
      </c>
      <c r="C17" s="765" t="str">
        <f>Datos!A17</f>
        <v xml:space="preserve">Jdos. 1ª Instª. e Instr.                        </v>
      </c>
      <c r="D17" s="593"/>
      <c r="E17" s="1558">
        <f>IF(ISNUMBER(Datos!AQ17),Datos!AQ17," - ")</f>
        <v>0</v>
      </c>
      <c r="F17" s="543">
        <f>IF(ISNUMBER(AA17+Y17-Datos!J17-K16),AA17+Y17-Datos!J17-K16," - ")</f>
        <v>1</v>
      </c>
      <c r="G17" s="552">
        <f>IF(ISNUMBER(IF(D_I="SI",Datos!I17,Datos!I17+Datos!AC17)),IF(D_I="SI",Datos!I17,Datos!I17+Datos!AC17)," - ")</f>
        <v>1</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0</v>
      </c>
      <c r="Z17" s="805">
        <f>IF(ISNUMBER(Datos!Q17),Datos!Q17," - ")</f>
        <v>0</v>
      </c>
      <c r="AA17" s="551">
        <f>IF(ISNUMBER(IF(D_I="SI",Datos!L17,Datos!L17+Datos!AF17)),IF(D_I="SI",Datos!L17,Datos!L17+Datos!AF17)," - ")</f>
        <v>1</v>
      </c>
      <c r="AB17" s="549"/>
      <c r="AC17" s="549"/>
      <c r="AD17" s="563"/>
      <c r="AE17" s="563">
        <f>IF(ISNUMBER(Datos!R17),Datos!R17," - ")</f>
        <v>0</v>
      </c>
      <c r="AF17" s="693" t="str">
        <f>IF(ISNUMBER(Datos!BV17),Datos!BV17," - ")</f>
        <v xml:space="preserve"> - </v>
      </c>
      <c r="AG17" s="552"/>
      <c r="AH17" s="553"/>
      <c r="AI17" s="554"/>
      <c r="AJ17" s="552">
        <f>IF(ISNUMBER(Datos!M17),Datos!M17," - ")</f>
        <v>0</v>
      </c>
      <c r="AK17" s="693">
        <f>IF(ISNUMBER(Datos!N17),Datos!N17," - ")</f>
        <v>0</v>
      </c>
      <c r="AL17" s="693" t="str">
        <f>IF(ISNUMBER(Datos!BW17),Datos!BW17," - ")</f>
        <v xml:space="preserve"> - </v>
      </c>
      <c r="AM17" s="762" t="str">
        <f>IF(ISNUMBER(Datos!BX17),Datos!BX17," - ")</f>
        <v xml:space="preserve"> - </v>
      </c>
      <c r="AN17" s="763"/>
      <c r="AO17" s="764" t="str">
        <f>IF(ISNUMBER(((NºAsuntos!I17/NºAsuntos!G17)*11)/factor_trimestre),((NºAsuntos!I17/NºAsuntos!G17)*11)/factor_trimestre," - ")</f>
        <v xml:space="preserve"> - </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199</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8</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275</v>
      </c>
      <c r="Z18" s="805">
        <f>IF(ISNUMBER(Datos!Q18),Datos!Q18," - ")</f>
        <v>4</v>
      </c>
      <c r="AA18" s="551">
        <f>IF(ISNUMBER(Datos!L18),Datos!L18,"-")</f>
        <v>218</v>
      </c>
      <c r="AB18" s="549"/>
      <c r="AC18" s="549"/>
      <c r="AD18" s="563"/>
      <c r="AE18" s="563">
        <f>IF(ISNUMBER(Datos!R18),Datos!R18," - ")</f>
        <v>10</v>
      </c>
      <c r="AF18" s="693" t="str">
        <f>IF(ISNUMBER(Datos!BV18),Datos!BV18," - ")</f>
        <v xml:space="preserve"> - </v>
      </c>
      <c r="AG18" s="552" t="str">
        <f>IF(ISNUMBER(Datos!DV18),Datos!DV18," - ")</f>
        <v xml:space="preserve"> - </v>
      </c>
      <c r="AH18" s="553"/>
      <c r="AI18" s="554"/>
      <c r="AJ18" s="552">
        <f>IF(ISNUMBER(Datos!M18),Datos!M18," - ")</f>
        <v>73</v>
      </c>
      <c r="AK18" s="693">
        <f>IF(ISNUMBER(Datos!N18),Datos!N18," - ")</f>
        <v>138</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2.3781818181818184</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3</v>
      </c>
      <c r="F23" s="1197">
        <f>SUBTOTAL(9,F16:F22)</f>
        <v>1092</v>
      </c>
      <c r="G23" s="1197">
        <f>SUBTOTAL(9,G16:G22)</f>
        <v>1244</v>
      </c>
      <c r="H23" s="1240">
        <f>SUBTOTAL(9,H16:H22)</f>
        <v>0</v>
      </c>
      <c r="I23" s="1217">
        <f>SUBTOTAL(9,I16:I22)</f>
        <v>0</v>
      </c>
      <c r="J23" s="1164">
        <f>SUBTOTAL(9,J15:J22)</f>
        <v>0</v>
      </c>
      <c r="K23" s="1240">
        <f t="shared" ref="K23:S23" si="5">SUBTOTAL(9,K16:K22)</f>
        <v>0</v>
      </c>
      <c r="L23" s="1240">
        <f t="shared" si="5"/>
        <v>0</v>
      </c>
      <c r="M23" s="1240">
        <f t="shared" si="5"/>
        <v>0</v>
      </c>
      <c r="N23" s="1240">
        <f t="shared" si="5"/>
        <v>73</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1729</v>
      </c>
      <c r="Z23" s="1240">
        <f t="shared" si="6"/>
        <v>96</v>
      </c>
      <c r="AA23" s="1240">
        <f t="shared" si="6"/>
        <v>1272</v>
      </c>
      <c r="AB23" s="1240">
        <f t="shared" si="6"/>
        <v>0</v>
      </c>
      <c r="AC23" s="1240">
        <f t="shared" si="6"/>
        <v>0</v>
      </c>
      <c r="AD23" s="1240">
        <f t="shared" si="6"/>
        <v>0</v>
      </c>
      <c r="AE23" s="1240">
        <f t="shared" si="6"/>
        <v>184</v>
      </c>
      <c r="AF23" s="1240">
        <f t="shared" si="6"/>
        <v>0</v>
      </c>
      <c r="AG23" s="1240">
        <f t="shared" si="6"/>
        <v>0</v>
      </c>
      <c r="AH23" s="1240">
        <f t="shared" si="6"/>
        <v>0</v>
      </c>
      <c r="AI23" s="1240">
        <f t="shared" si="6"/>
        <v>0</v>
      </c>
      <c r="AJ23" s="1240">
        <f t="shared" si="6"/>
        <v>355</v>
      </c>
      <c r="AK23" s="1240">
        <f t="shared" si="6"/>
        <v>875</v>
      </c>
      <c r="AL23" s="1240">
        <f t="shared" si="6"/>
        <v>0</v>
      </c>
      <c r="AM23" s="1240">
        <f t="shared" si="6"/>
        <v>0</v>
      </c>
      <c r="AN23" s="1240">
        <f t="shared" si="6"/>
        <v>0</v>
      </c>
      <c r="AO23" s="1242">
        <f>IF(ISNUMBER(((NºAsuntos!I23/NºAsuntos!G23)*11)/factor_trimestre),((NºAsuntos!I23/NºAsuntos!G23)*11)/factor_trimestre," - ")</f>
        <v>2.207056101792944</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10</v>
      </c>
      <c r="F31" s="1117">
        <f t="shared" si="12"/>
        <v>1170</v>
      </c>
      <c r="G31" s="1117">
        <f t="shared" si="12"/>
        <v>1322</v>
      </c>
      <c r="H31" s="1118">
        <f t="shared" si="12"/>
        <v>0</v>
      </c>
      <c r="I31" s="1117">
        <f t="shared" si="12"/>
        <v>0</v>
      </c>
      <c r="J31" s="1119">
        <f t="shared" si="12"/>
        <v>0</v>
      </c>
      <c r="K31" s="1117">
        <f t="shared" si="12"/>
        <v>0</v>
      </c>
      <c r="L31" s="1120">
        <f t="shared" si="12"/>
        <v>0</v>
      </c>
      <c r="M31" s="1117">
        <f t="shared" si="12"/>
        <v>0</v>
      </c>
      <c r="N31" s="1118">
        <f t="shared" si="12"/>
        <v>572</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1753</v>
      </c>
      <c r="Z31" s="1124">
        <f t="shared" si="13"/>
        <v>579</v>
      </c>
      <c r="AA31" s="1125">
        <f t="shared" si="13"/>
        <v>1347</v>
      </c>
      <c r="AB31" s="1125">
        <f t="shared" si="13"/>
        <v>0</v>
      </c>
      <c r="AC31" s="1125">
        <f t="shared" si="13"/>
        <v>0</v>
      </c>
      <c r="AD31" s="1126">
        <f t="shared" si="13"/>
        <v>0</v>
      </c>
      <c r="AE31" s="1126">
        <f t="shared" si="13"/>
        <v>7759</v>
      </c>
      <c r="AF31" s="1127">
        <f t="shared" si="13"/>
        <v>0</v>
      </c>
      <c r="AG31" s="1128">
        <f t="shared" si="13"/>
        <v>0</v>
      </c>
      <c r="AH31" s="1129">
        <f t="shared" si="13"/>
        <v>0</v>
      </c>
      <c r="AI31" s="1127">
        <f t="shared" si="13"/>
        <v>0</v>
      </c>
      <c r="AJ31" s="1117">
        <f t="shared" si="13"/>
        <v>1088</v>
      </c>
      <c r="AK31" s="1117">
        <f t="shared" si="13"/>
        <v>2059</v>
      </c>
      <c r="AL31" s="1117">
        <f t="shared" si="13"/>
        <v>0</v>
      </c>
      <c r="AM31" s="1130">
        <f t="shared" si="13"/>
        <v>0</v>
      </c>
      <c r="AN31" s="1120">
        <f>IF(ISNUMBER(Datos!K31/Datos!J31),Datos!K31/Datos!J31," - ")</f>
        <v>1.0606307775965198</v>
      </c>
      <c r="AO31" s="1120">
        <f>IF(ISNUMBER(FIND("06",Criterios!A8,1)),(IF(ISNUMBER(((Datos!R31/Datos!Q31)*11)/factor_trimestre),((Datos!R31/Datos!Q31)*11)/factor_trimestre," - ")),(IF(ISNUMBER(((Datos!L31/Datos!K31)*11)/factor_trimestre),((Datos!L31/Datos!K31)*11)/factor_trimestre," - ")))</f>
        <v>3.4014355293514491</v>
      </c>
      <c r="AP31" s="1131" t="str">
        <f>IF(ISNUMBER(Datos!CI31/Datos!CJ31),Datos!CI31/Datos!CJ31," - ")</f>
        <v xml:space="preserve"> - </v>
      </c>
      <c r="AQ31" s="1131">
        <f>IF(OR(ISNUMBER(FIND("01",Criterios!A8,1)),ISNUMBER(FIND("02",Criterios!A8,1)),ISNUMBER(FIND("03",Criterios!A8,1)),ISNUMBER(FIND("04",Criterios!A8,1))),(J31-Y31+K31)/(F31-K31),(I31-Y31+K31)/(F31-K31))</f>
        <v>-1.4982905982905983</v>
      </c>
      <c r="AR31" s="1131">
        <f>IF(ISNUMBER((Datos!P31-Datos!Q31+O31)/(Datos!R31-Datos!P31+Datos!Q31-O31)),(Datos!P31-Datos!Q31+O31)/(Datos!R31-Datos!P31+Datos!Q31-O31)," - ")</f>
        <v>-9.0136492402781356E-4</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330.5</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518.44084017552552</v>
      </c>
      <c r="G33" s="674">
        <f>IF(ISNUMBER(STDEV(G8:G30)),STDEV(G8:G30),"-")</f>
        <v>509.25716209284394</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269.30659933325887</v>
      </c>
      <c r="AK33" s="276"/>
      <c r="AL33" s="276">
        <f>IF(ISNUMBER(STDEV(AL8:AL30)),STDEV(AL8:AL30),"-")</f>
        <v>0</v>
      </c>
      <c r="AM33" s="278">
        <f>IF(ISNUMBER(STDEV(AM8:AM30)),STDEV(AM8:AM30),"-")</f>
        <v>0</v>
      </c>
      <c r="AN33" s="660">
        <f>IF(ISNUMBER(STDEV(AN8:AN30)),STDEV(AN8:AN30),"-")</f>
        <v>0</v>
      </c>
      <c r="AO33" s="661">
        <f>IF(ISNUMBER(STDEV(AO8:AO30)),STDEV(AO8:AO30),"-")</f>
        <v>2.5212790156052298</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IFcq//RGBepbuU5/YxOk8273zFwqrw149z89pRZLLyq20HlED3rKXKb4qkRUwtb+na1mxVI3jjAV7JI1/H+DcA==" saltValue="/Qe4aCcm5MxkXsYq3x7lJ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827</v>
      </c>
      <c r="D3" s="814"/>
      <c r="E3" s="814"/>
      <c r="F3" s="814"/>
      <c r="G3" s="814" t="str">
        <f xml:space="preserve"> "Año: " &amp; Año &amp; "  Trimestres " &amp; TrimIni &amp; " al " &amp; TrimFin</f>
        <v>Año: 2022  Trimestres 2 al 2</v>
      </c>
      <c r="H3" s="815"/>
      <c r="I3" s="815"/>
      <c r="J3" s="815"/>
      <c r="K3" s="816"/>
      <c r="L3" s="816"/>
      <c r="M3" s="816"/>
      <c r="N3" s="816"/>
      <c r="O3" s="816"/>
      <c r="P3" s="816"/>
      <c r="Q3" s="816"/>
    </row>
    <row r="4" spans="1:18" ht="42" customHeight="1" thickBot="1">
      <c r="A4" s="1933" t="s">
        <v>828</v>
      </c>
      <c r="B4" s="1933" t="s">
        <v>938</v>
      </c>
      <c r="C4" s="1933" t="s">
        <v>829</v>
      </c>
      <c r="D4" s="1933" t="s">
        <v>896</v>
      </c>
      <c r="E4" s="1935" t="s">
        <v>897</v>
      </c>
      <c r="F4" s="1933" t="s">
        <v>830</v>
      </c>
      <c r="G4" s="1935" t="s">
        <v>598</v>
      </c>
      <c r="H4" s="1928" t="s">
        <v>831</v>
      </c>
      <c r="I4" s="1928" t="s">
        <v>832</v>
      </c>
      <c r="J4" s="1928" t="s">
        <v>833</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UZtFAhgj5KL/rorFbTDw5Z9YIK6uhFLKntuUzpQnP7NP5UAblzUKrd6BVDI880MfodVPyY8vPnsn6FbkO0K9cQ==" saltValue="W8N777LV3fCQuHcx5TQx9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GALICIA</v>
      </c>
    </row>
    <row r="4" spans="1:155" ht="13.5" thickBot="1">
      <c r="A4" t="str">
        <f>Criterios!A10</f>
        <v>Provincias</v>
      </c>
      <c r="B4" t="str">
        <f>Criterios!B10</f>
        <v>OURENSE</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636</v>
      </c>
      <c r="DL5" s="1756" t="s">
        <v>640</v>
      </c>
      <c r="DM5" s="1848" t="s">
        <v>706</v>
      </c>
      <c r="DN5" s="1848" t="s">
        <v>707</v>
      </c>
      <c r="DO5" s="1848" t="s">
        <v>708</v>
      </c>
      <c r="DP5" s="1848" t="s">
        <v>709</v>
      </c>
      <c r="DQ5" s="1848" t="s">
        <v>710</v>
      </c>
      <c r="DR5" s="1848" t="s">
        <v>711</v>
      </c>
      <c r="DS5" s="1848" t="s">
        <v>712</v>
      </c>
      <c r="DT5" s="1848" t="s">
        <v>713</v>
      </c>
      <c r="DU5" s="1849" t="s">
        <v>714</v>
      </c>
      <c r="DV5" s="1861" t="s">
        <v>715</v>
      </c>
      <c r="DW5" s="1858" t="s">
        <v>716</v>
      </c>
      <c r="DX5" s="1848" t="s">
        <v>717</v>
      </c>
      <c r="DY5" s="1855" t="s">
        <v>718</v>
      </c>
      <c r="DZ5" s="1858" t="s">
        <v>719</v>
      </c>
      <c r="EA5" s="1855" t="s">
        <v>720</v>
      </c>
      <c r="EB5" s="1852" t="s">
        <v>780</v>
      </c>
      <c r="EC5" s="1852" t="s">
        <v>781</v>
      </c>
      <c r="ED5" s="1852" t="s">
        <v>782</v>
      </c>
      <c r="EE5" s="1852" t="s">
        <v>822</v>
      </c>
      <c r="EF5" s="1852" t="s">
        <v>826</v>
      </c>
      <c r="EG5" s="1855" t="s">
        <v>824</v>
      </c>
      <c r="EH5" s="1855" t="s">
        <v>825</v>
      </c>
      <c r="EI5" s="1855" t="s">
        <v>784</v>
      </c>
      <c r="EJ5" s="1855" t="s">
        <v>785</v>
      </c>
      <c r="EK5" s="1867" t="s">
        <v>873</v>
      </c>
      <c r="EL5" s="1870" t="s">
        <v>891</v>
      </c>
      <c r="EM5" s="1871"/>
      <c r="EN5" s="1872"/>
      <c r="EO5" s="1768" t="s">
        <v>991</v>
      </c>
      <c r="EP5" s="1768" t="s">
        <v>993</v>
      </c>
      <c r="EQ5" s="1768" t="s">
        <v>994</v>
      </c>
      <c r="ER5" s="1768" t="s">
        <v>1007</v>
      </c>
      <c r="ES5" s="1768" t="s">
        <v>1009</v>
      </c>
      <c r="ET5" s="1864" t="s">
        <v>1089</v>
      </c>
      <c r="EU5" s="1864" t="s">
        <v>1090</v>
      </c>
      <c r="EV5" s="1765" t="s">
        <v>1111</v>
      </c>
      <c r="EW5" s="1765" t="s">
        <v>1117</v>
      </c>
      <c r="EX5" s="1762" t="s">
        <v>1147</v>
      </c>
      <c r="EY5" s="1750" t="s">
        <v>1160</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990</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892</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637</v>
      </c>
      <c r="DL8" s="532" t="s">
        <v>638</v>
      </c>
      <c r="DM8" s="532" t="s">
        <v>721</v>
      </c>
      <c r="DN8" s="532" t="s">
        <v>722</v>
      </c>
      <c r="DO8" s="532" t="s">
        <v>723</v>
      </c>
      <c r="DP8" s="532" t="s">
        <v>724</v>
      </c>
      <c r="DQ8" s="532" t="s">
        <v>725</v>
      </c>
      <c r="DR8" s="532" t="s">
        <v>726</v>
      </c>
      <c r="DS8" s="532" t="s">
        <v>727</v>
      </c>
      <c r="DT8" s="532" t="s">
        <v>728</v>
      </c>
      <c r="DU8" s="538" t="s">
        <v>729</v>
      </c>
      <c r="DV8" s="532" t="s">
        <v>730</v>
      </c>
      <c r="DW8" s="532" t="s">
        <v>731</v>
      </c>
      <c r="DX8" s="532" t="s">
        <v>732</v>
      </c>
      <c r="DY8" s="532" t="s">
        <v>733</v>
      </c>
      <c r="DZ8" s="532" t="s">
        <v>734</v>
      </c>
      <c r="EA8" s="532" t="s">
        <v>735</v>
      </c>
      <c r="EB8" s="532" t="s">
        <v>792</v>
      </c>
      <c r="EC8" s="532" t="s">
        <v>793</v>
      </c>
      <c r="ED8" s="532" t="s">
        <v>794</v>
      </c>
      <c r="EE8" s="532" t="s">
        <v>795</v>
      </c>
      <c r="EF8" s="532" t="s">
        <v>796</v>
      </c>
      <c r="EG8" s="532" t="s">
        <v>797</v>
      </c>
      <c r="EH8" s="532" t="s">
        <v>798</v>
      </c>
      <c r="EI8" s="532" t="s">
        <v>799</v>
      </c>
      <c r="EJ8" s="532" t="s">
        <v>800</v>
      </c>
      <c r="EK8" s="532" t="s">
        <v>874</v>
      </c>
      <c r="EL8" s="852" t="s">
        <v>893</v>
      </c>
      <c r="EM8" s="852" t="s">
        <v>894</v>
      </c>
      <c r="EN8" s="852" t="s">
        <v>895</v>
      </c>
      <c r="EO8" s="53" t="s">
        <v>992</v>
      </c>
      <c r="EP8" s="53" t="s">
        <v>997</v>
      </c>
      <c r="EQ8" s="53" t="s">
        <v>998</v>
      </c>
      <c r="ER8" s="53" t="s">
        <v>1008</v>
      </c>
      <c r="ES8" s="532" t="s">
        <v>1010</v>
      </c>
      <c r="ET8" s="1519" t="s">
        <v>1091</v>
      </c>
      <c r="EU8" s="1519" t="s">
        <v>1092</v>
      </c>
      <c r="EV8" s="165" t="s">
        <v>1100</v>
      </c>
      <c r="EW8" s="165">
        <v>153</v>
      </c>
      <c r="EX8" s="532" t="s">
        <v>1146</v>
      </c>
      <c r="EY8" s="532" t="s">
        <v>1159</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19FVTBI+8QBW7abDK0PNINCBq/lgvWdiuGpD6Lxzwfbx+dxwCSJWBHUJ07bfFHHgsiyqR2brgsKrpjjKROkNMA==" saltValue="n8VCUNgv25hSpCu8zYTrG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GALICIA</v>
      </c>
      <c r="F1" s="856"/>
    </row>
    <row r="2" spans="1:75" ht="16.5" customHeight="1">
      <c r="C2" s="567" t="str">
        <f>Criterios!A10 &amp;"  "&amp;Criterios!B10 &amp; "  " &amp; IF(NOT(ISBLANK(Criterios!A11)),Criterios!A11 &amp;"  "&amp;Criterios!B11,"")</f>
        <v>Provincias  OURENSE  Resumenes por Partidos Judiciales  OURENSE</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2 al 2</v>
      </c>
      <c r="D5" s="1882" t="s">
        <v>491</v>
      </c>
      <c r="E5" s="1882" t="s">
        <v>749</v>
      </c>
      <c r="F5" s="1893" t="s">
        <v>527</v>
      </c>
      <c r="G5" s="1882" t="s">
        <v>173</v>
      </c>
      <c r="H5" s="1882" t="s">
        <v>782</v>
      </c>
      <c r="I5" s="1882" t="s">
        <v>750</v>
      </c>
      <c r="J5" s="1882" t="s">
        <v>867</v>
      </c>
      <c r="K5" s="1882" t="s">
        <v>751</v>
      </c>
      <c r="L5" s="1882" t="s">
        <v>706</v>
      </c>
      <c r="M5" s="1885" t="s">
        <v>780</v>
      </c>
      <c r="N5" s="1882" t="s">
        <v>924</v>
      </c>
      <c r="O5" s="1882" t="s">
        <v>883</v>
      </c>
      <c r="P5" s="1882" t="s">
        <v>229</v>
      </c>
      <c r="Q5" s="1888" t="s">
        <v>879</v>
      </c>
      <c r="R5" s="1888" t="s">
        <v>925</v>
      </c>
      <c r="S5" s="1882" t="s">
        <v>783</v>
      </c>
      <c r="T5" s="1888" t="s">
        <v>752</v>
      </c>
      <c r="U5" s="1888" t="s">
        <v>1035</v>
      </c>
      <c r="V5" s="1888" t="s">
        <v>1036</v>
      </c>
      <c r="W5" s="1899" t="s">
        <v>808</v>
      </c>
      <c r="X5" s="1917" t="s">
        <v>753</v>
      </c>
      <c r="Y5" s="1899" t="s">
        <v>754</v>
      </c>
      <c r="Z5" s="1899" t="s">
        <v>755</v>
      </c>
      <c r="AA5" s="1882" t="s">
        <v>884</v>
      </c>
      <c r="AB5" s="1882" t="s">
        <v>890</v>
      </c>
      <c r="AC5" s="1882" t="s">
        <v>243</v>
      </c>
      <c r="AD5" s="1905" t="s">
        <v>241</v>
      </c>
      <c r="AE5" s="1882" t="s">
        <v>885</v>
      </c>
      <c r="AF5" s="1908" t="s">
        <v>886</v>
      </c>
      <c r="AG5" s="1911" t="s">
        <v>715</v>
      </c>
      <c r="AH5" s="1882" t="s">
        <v>716</v>
      </c>
      <c r="AI5" s="1882" t="s">
        <v>806</v>
      </c>
      <c r="AJ5" s="1914" t="s">
        <v>807</v>
      </c>
      <c r="AK5" s="1911" t="s">
        <v>244</v>
      </c>
      <c r="AL5" s="1882" t="s">
        <v>759</v>
      </c>
      <c r="AM5" s="1882" t="s">
        <v>322</v>
      </c>
      <c r="AN5" s="1882" t="s">
        <v>323</v>
      </c>
      <c r="AO5" s="1882" t="s">
        <v>324</v>
      </c>
      <c r="AP5" s="1882" t="s">
        <v>760</v>
      </c>
      <c r="AQ5" s="1882" t="s">
        <v>325</v>
      </c>
      <c r="AR5" s="1882" t="s">
        <v>761</v>
      </c>
      <c r="AS5" s="1882" t="s">
        <v>762</v>
      </c>
      <c r="AT5" s="1882" t="s">
        <v>763</v>
      </c>
      <c r="AU5" s="1882" t="s">
        <v>791</v>
      </c>
      <c r="AV5" s="1882" t="s">
        <v>784</v>
      </c>
      <c r="AW5" s="1882" t="s">
        <v>1112</v>
      </c>
      <c r="AX5" s="1882" t="s">
        <v>1116</v>
      </c>
      <c r="AY5" s="1882" t="s">
        <v>1118</v>
      </c>
      <c r="AZ5" s="1882" t="s">
        <v>785</v>
      </c>
      <c r="BA5" s="1882" t="s">
        <v>1160</v>
      </c>
      <c r="BB5" s="1882" t="s">
        <v>764</v>
      </c>
      <c r="BC5" s="1882" t="s">
        <v>714</v>
      </c>
      <c r="BW5" s="1882" t="s">
        <v>1037</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0.27775672603258811</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0.1964036644978171</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kTmZoprYR7DLkz4+6KNGD8o7UzgBQ1f8MfuLvk+BxpWwpiAXzs+PPJRkVdzizuF8BHl1ZwXCCWMGc1yA1ba6cw==" saltValue="8Qisg2SN3wMA0tDDbRury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1085</v>
      </c>
    </row>
    <row r="3" spans="2:5" ht="16.5" customHeight="1" thickBot="1">
      <c r="B3" s="1518" t="s">
        <v>1086</v>
      </c>
      <c r="C3" s="1518" t="s">
        <v>1087</v>
      </c>
      <c r="D3" s="1518" t="s">
        <v>1088</v>
      </c>
      <c r="E3" s="1527" t="s">
        <v>1093</v>
      </c>
    </row>
  </sheetData>
  <sheetProtection algorithmName="SHA-512" hashValue="tzftfENScAGCYzDW84qhngslIcrSnFc21q2DmD4OQ4Y7pCv+ROXyirqBz4zmrcEIIAaV37Ih64YISeQRrcIy7w==" saltValue="JSZjMflNGxmQVhtVaAumP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GALICIA</v>
      </c>
      <c r="C2" s="436"/>
      <c r="D2" s="436"/>
      <c r="E2" s="436"/>
      <c r="F2" s="436"/>
    </row>
    <row r="3" spans="1:14" ht="19.5">
      <c r="A3" s="438" t="s">
        <v>159</v>
      </c>
      <c r="B3" s="439" t="str">
        <f>Criterios!A10 &amp;"  "&amp;Criterios!B10</f>
        <v>Provincias  OURENSE</v>
      </c>
      <c r="D3" s="436"/>
      <c r="E3" s="436"/>
      <c r="F3" s="436"/>
    </row>
    <row r="4" spans="1:14" ht="13.5" thickBot="1">
      <c r="A4" s="436"/>
      <c r="B4" s="439" t="str">
        <f>Criterios!A11 &amp;"  "&amp;Criterios!B11</f>
        <v>Resumenes por Partidos Judiciales  OURENSE</v>
      </c>
      <c r="C4" s="436"/>
      <c r="D4" s="436"/>
      <c r="E4" s="436"/>
      <c r="F4" s="436"/>
    </row>
    <row r="5" spans="1:14" ht="15.75" customHeight="1">
      <c r="A5" s="1579" t="str">
        <f>"Año:  " &amp;Criterios!B5 &amp; "     Trimestre   " &amp;Criterios!D5 &amp; " al " &amp;Criterios!D6</f>
        <v>Año:  2022     Trimestre   2 al 2</v>
      </c>
      <c r="B5" s="1081" t="s">
        <v>160</v>
      </c>
      <c r="C5" s="1581" t="s">
        <v>173</v>
      </c>
      <c r="D5" s="1582"/>
      <c r="E5" s="1581" t="s">
        <v>126</v>
      </c>
      <c r="F5" s="1582"/>
      <c r="G5" s="1581" t="s">
        <v>14</v>
      </c>
      <c r="H5" s="1582"/>
      <c r="I5" s="1581" t="s">
        <v>174</v>
      </c>
      <c r="J5" s="1582"/>
      <c r="K5" s="1588" t="s">
        <v>996</v>
      </c>
      <c r="L5" s="1572" t="s">
        <v>1059</v>
      </c>
      <c r="M5" s="1572" t="s">
        <v>1148</v>
      </c>
      <c r="N5" s="1575" t="s">
        <v>995</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990</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6</v>
      </c>
      <c r="C9" s="451">
        <f>IF(ISNUMBER(IF(J_V="SI",Datos!I9,Datos!I9+Datos!Y9)),IF(J_V="SI",Datos!I9,Datos!I9+Datos!Y9)," - ")</f>
        <v>2700</v>
      </c>
      <c r="D9" s="452">
        <f>IF(ISNUMBER(C9/Datos!BH9),C9/Datos!BH9," - ")</f>
        <v>450</v>
      </c>
      <c r="E9" s="451">
        <f>IF(ISNUMBER(IF(J_V="SI",Datos!J9,Datos!J9+Datos!Z9)),IF(J_V="SI",Datos!J9,Datos!J9+Datos!Z9)," - ")</f>
        <v>1847</v>
      </c>
      <c r="F9" s="452">
        <f>IF(ISNUMBER(E9/B9),E9/B9," - ")</f>
        <v>307.83333333333331</v>
      </c>
      <c r="G9" s="451">
        <f>IF(ISNUMBER(IF(J_V="SI",Datos!K9,Datos!K9+Datos!AA9)),IF(J_V="SI",Datos!K9,Datos!K9+Datos!AA9)," - ")</f>
        <v>2024</v>
      </c>
      <c r="H9" s="452">
        <f>IF(ISNUMBER(G9/B9),G9/B9," - ")</f>
        <v>337.33333333333331</v>
      </c>
      <c r="I9" s="451">
        <f>IF(ISNUMBER(IF(J_V="SI",Datos!L9,Datos!L9+Datos!AB9)),IF(J_V="SI",Datos!L9,Datos!L9+Datos!AB9)," - ")</f>
        <v>2551</v>
      </c>
      <c r="J9" s="452">
        <f>IF(ISNUMBER(I9/B9),I9/B9," - ")</f>
        <v>425.16666666666669</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78</v>
      </c>
      <c r="D10" s="452">
        <f>IF(ISNUMBER(C10/Datos!BH10),C10/Datos!BH10," - ")</f>
        <v>78</v>
      </c>
      <c r="E10" s="451">
        <f>IF(ISNUMBER(Datos!J10),Datos!J10," - ")</f>
        <v>21</v>
      </c>
      <c r="F10" s="452">
        <f>IF(ISNUMBER(E10/B10),E10/B10," - ")</f>
        <v>21</v>
      </c>
      <c r="G10" s="451">
        <f>IF(ISNUMBER(Datos!K10),Datos!K10," - ")</f>
        <v>24</v>
      </c>
      <c r="H10" s="452">
        <f>IF(ISNUMBER(G10/B10),G10/B10," - ")</f>
        <v>24</v>
      </c>
      <c r="I10" s="451">
        <f>IF(ISNUMBER(Datos!L10),Datos!L10," - ")</f>
        <v>75</v>
      </c>
      <c r="J10" s="452">
        <f>IF(ISNUMBER(I10/B10),I10/B10," - ")</f>
        <v>75</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1</v>
      </c>
      <c r="C11" s="451">
        <f>IF(ISNUMBER(IF(J_V="SI",Datos!I11,Datos!I11+Datos!Y11)),IF(J_V="SI",Datos!I11,Datos!I11+Datos!Y11)," - ")</f>
        <v>1002</v>
      </c>
      <c r="D11" s="452">
        <f>IF(ISNUMBER(C11/Datos!BH11),C11/Datos!BH11," - ")</f>
        <v>1002</v>
      </c>
      <c r="E11" s="451">
        <f>IF(ISNUMBER(IF(J_V="SI",Datos!J11,Datos!J11+Datos!Z11)),IF(J_V="SI",Datos!J11,Datos!J11+Datos!Z11)," - ")</f>
        <v>570</v>
      </c>
      <c r="F11" s="452">
        <f>IF(ISNUMBER(E11/B11),E11/B11," - ")</f>
        <v>570</v>
      </c>
      <c r="G11" s="451">
        <f>IF(ISNUMBER(IF(J_V="SI",Datos!K11,Datos!K11+Datos!AA11)),IF(J_V="SI",Datos!K11,Datos!K11+Datos!AA11)," - ")</f>
        <v>591</v>
      </c>
      <c r="H11" s="452">
        <f>IF(ISNUMBER(G11/B11),G11/B11," - ")</f>
        <v>591</v>
      </c>
      <c r="I11" s="451">
        <f>IF(ISNUMBER(IF(J_V="SI",Datos!L11,Datos!L11+Datos!AB11)),IF(J_V="SI",Datos!L11,Datos!L11+Datos!AB11)," - ")</f>
        <v>764</v>
      </c>
      <c r="J11" s="452">
        <f>IF(ISNUMBER(I11/B11),I11/B11," - ")</f>
        <v>764</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0</v>
      </c>
      <c r="C12" s="451" t="str">
        <f>IF(ISNUMBER(IF(J_V="SI",Datos!I12,Datos!I12+Datos!Y12)),IF(J_V="SI",Datos!I12,Datos!I12+Datos!Y12)," - ")</f>
        <v xml:space="preserve"> - </v>
      </c>
      <c r="D12" s="452" t="str">
        <f>IF(ISNUMBER(C12/Datos!BH12),C12/Datos!BH12," - ")</f>
        <v xml:space="preserve"> - </v>
      </c>
      <c r="E12" s="451" t="str">
        <f>IF(ISNUMBER(IF(J_V="SI",Datos!J12,Datos!J12+Datos!Z12)),IF(J_V="SI",Datos!J12,Datos!J12+Datos!Z12)," - ")</f>
        <v xml:space="preserve"> - </v>
      </c>
      <c r="F12" s="452" t="str">
        <f>IF(ISNUMBER(E12/B12),E12/B12," - ")</f>
        <v xml:space="preserve"> - </v>
      </c>
      <c r="G12" s="451" t="str">
        <f>IF(ISNUMBER(IF(J_V="SI",Datos!K12,Datos!K12+Datos!AA12)),IF(J_V="SI",Datos!K12,Datos!K12+Datos!AA12)," - ")</f>
        <v xml:space="preserve"> - </v>
      </c>
      <c r="H12" s="452" t="str">
        <f>IF(ISNUMBER(G12/B12),G12/B12," - ")</f>
        <v xml:space="preserve"> - </v>
      </c>
      <c r="I12" s="451" t="str">
        <f>IF(ISNUMBER(IF(J_V="SI",Datos!L12,Datos!L12+Datos!AB12)),IF(J_V="SI",Datos!L12,Datos!L12+Datos!AB12)," - ")</f>
        <v xml:space="preserve"> - </v>
      </c>
      <c r="J12" s="452" t="str">
        <f>IF(ISNUMBER(I12/B12),I12/B12," - ")</f>
        <v xml:space="preserve"> - </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7</v>
      </c>
      <c r="C14" s="1146">
        <f>SUBTOTAL(9,C8:C13)</f>
        <v>3780</v>
      </c>
      <c r="D14" s="1147" t="str">
        <f>IF(ISNUMBER(C14/Datos!BI14),C14/Datos!BI14," - ")</f>
        <v xml:space="preserve"> - </v>
      </c>
      <c r="E14" s="1146">
        <f>SUBTOTAL(9,E8:E13)</f>
        <v>2438</v>
      </c>
      <c r="F14" s="1147">
        <f>IF(ISNUMBER(E14/B14),E14/B14," - ")</f>
        <v>348.28571428571428</v>
      </c>
      <c r="G14" s="1146">
        <f>SUBTOTAL(9,G8:G13)</f>
        <v>2639</v>
      </c>
      <c r="H14" s="1147">
        <f>IF(ISNUMBER(G14/B14),G14/B14," - ")</f>
        <v>377</v>
      </c>
      <c r="I14" s="1146">
        <f>SUBTOTAL(9,I8:I13)</f>
        <v>3390</v>
      </c>
      <c r="J14" s="1147">
        <f>IF(ISNUMBER(I14/B14),I14/B14," - ")</f>
        <v>484.28571428571428</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3</v>
      </c>
      <c r="C16" s="451">
        <f>IF(ISNUMBER(IF(D_I="SI",Datos!I16,Datos!I16+Datos!AC16)),IF(D_I="SI",Datos!I16,Datos!I16+Datos!AC16)," - ")</f>
        <v>1044</v>
      </c>
      <c r="D16" s="452">
        <f>IF(ISNUMBER(C16/Datos!BH16),C16/Datos!BH16," - ")</f>
        <v>348</v>
      </c>
      <c r="E16" s="451">
        <f>IF(ISNUMBER(IF(D_I="SI",Datos!J16,Datos!J16+Datos!AD16)),IF(D_I="SI",Datos!J16,Datos!J16+Datos!AD16)," - ")</f>
        <v>1416</v>
      </c>
      <c r="F16" s="452">
        <f>IF(ISNUMBER(E16/B16),E16/B16," - ")</f>
        <v>472</v>
      </c>
      <c r="G16" s="451">
        <f>IF(ISNUMBER(IF(D_I="SI",Datos!K16,Datos!K16+Datos!AE16)),IF(D_I="SI",Datos!K16,Datos!K16+Datos!AE16)," - ")</f>
        <v>1454</v>
      </c>
      <c r="H16" s="452">
        <f>IF(ISNUMBER(G16/B16),G16/B16," - ")</f>
        <v>484.66666666666669</v>
      </c>
      <c r="I16" s="451">
        <f>IF(ISNUMBER(IF(D_I="SI",Datos!L16,Datos!L16+Datos!AF16)),IF(D_I="SI",Datos!L16,Datos!L16+Datos!AF16)," - ")</f>
        <v>1053</v>
      </c>
      <c r="J16" s="452">
        <f>IF(ISNUMBER(I16/B16),I16/B16," - ")</f>
        <v>351</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0</v>
      </c>
      <c r="C17" s="451">
        <f>IF(ISNUMBER(IF(D_I="SI",Datos!I17,Datos!I17+Datos!AC17)),IF(D_I="SI",Datos!I17,Datos!I17+Datos!AC17)," - ")</f>
        <v>1</v>
      </c>
      <c r="D17" s="452" t="str">
        <f>IF(ISNUMBER(C17/Datos!BH17),C17/Datos!BH17," - ")</f>
        <v xml:space="preserve"> - </v>
      </c>
      <c r="E17" s="451">
        <f>IF(ISNUMBER(IF(D_I="SI",Datos!J17,Datos!J17+Datos!AD17)),IF(D_I="SI",Datos!J17,Datos!J17+Datos!AD17)," - ")</f>
        <v>0</v>
      </c>
      <c r="F17" s="452" t="str">
        <f>IF(ISNUMBER(E17/B17),E17/B17," - ")</f>
        <v xml:space="preserve"> - </v>
      </c>
      <c r="G17" s="451">
        <f>IF(ISNUMBER(IF(D_I="SI",Datos!K17,Datos!K17+Datos!AE17)),IF(D_I="SI",Datos!K17,Datos!K17+Datos!AE17)," - ")</f>
        <v>0</v>
      </c>
      <c r="H17" s="452" t="str">
        <f>IF(ISNUMBER(G17/B17),G17/B17," - ")</f>
        <v xml:space="preserve"> - </v>
      </c>
      <c r="I17" s="451">
        <f>IF(ISNUMBER(IF(D_I="SI",Datos!L17,Datos!L17+Datos!AF17)),IF(D_I="SI",Datos!L17,Datos!L17+Datos!AF17)," - ")</f>
        <v>1</v>
      </c>
      <c r="J17" s="452" t="str">
        <f>IF(ISNUMBER(I17/B17),I17/B17," - ")</f>
        <v xml:space="preserve"> - </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199</v>
      </c>
      <c r="D18" s="452">
        <f>IF(ISNUMBER(C18/Datos!BH18),C18/Datos!BH18," - ")</f>
        <v>199</v>
      </c>
      <c r="E18" s="451">
        <f>IF(ISNUMBER(IF(D_I="SI",Datos!J18,Datos!J18+Datos!AD18)),IF(D_I="SI",Datos!J18,Datos!J18+Datos!AD18)," - ")</f>
        <v>294</v>
      </c>
      <c r="F18" s="452">
        <f>IF(ISNUMBER(E18/B18),E18/B18," - ")</f>
        <v>294</v>
      </c>
      <c r="G18" s="451">
        <f>IF(ISNUMBER(IF(D_I="SI",Datos!K18,Datos!K18+Datos!AE18)),IF(D_I="SI",Datos!K18,Datos!K18+Datos!AE18)," - ")</f>
        <v>275</v>
      </c>
      <c r="H18" s="452">
        <f>IF(ISNUMBER(G18/B18),G18/B18," - ")</f>
        <v>275</v>
      </c>
      <c r="I18" s="451">
        <f>IF(ISNUMBER(IF(D_I="SI",Datos!L18,Datos!L18+Datos!AF18)),IF(D_I="SI",Datos!L18,Datos!L18+Datos!AF18)," - ")</f>
        <v>218</v>
      </c>
      <c r="J18" s="452">
        <f>IF(ISNUMBER(I18/B18),I18/B18," - ")</f>
        <v>218</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3</v>
      </c>
      <c r="C23" s="1146">
        <f>SUBTOTAL(9,C15:C22)</f>
        <v>1244</v>
      </c>
      <c r="D23" s="1147" t="str">
        <f>IF(ISNUMBER(C23/Datos!BI23),C23/Datos!BI23," - ")</f>
        <v xml:space="preserve"> - </v>
      </c>
      <c r="E23" s="1146">
        <f>SUBTOTAL(9,E15:E22)</f>
        <v>1710</v>
      </c>
      <c r="F23" s="1147">
        <f>IF(ISNUMBER(E23/B23),E23/B23," - ")</f>
        <v>570</v>
      </c>
      <c r="G23" s="1146">
        <f>SUBTOTAL(9,G15:G22)</f>
        <v>1729</v>
      </c>
      <c r="H23" s="1147">
        <f>IF(ISNUMBER(G23/B23),G23/B23," - ")</f>
        <v>576.33333333333337</v>
      </c>
      <c r="I23" s="1146">
        <f>SUBTOTAL(9,I15:I22)</f>
        <v>1272</v>
      </c>
      <c r="J23" s="1147">
        <f>IF(ISNUMBER(I23/B23),I23/B23," - ")</f>
        <v>424</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10</v>
      </c>
      <c r="C31" s="1084">
        <f>SUBTOTAL(9,C9:C30)</f>
        <v>5024</v>
      </c>
      <c r="D31" s="1085" t="str">
        <f>IF(ISNUMBER(C31/Datos!BI31),C31/Datos!BI31," - ")</f>
        <v xml:space="preserve"> - </v>
      </c>
      <c r="E31" s="1084">
        <f>SUBTOTAL(9,E9:E30)</f>
        <v>4148</v>
      </c>
      <c r="F31" s="1085">
        <f>IF(ISNUMBER(E31/B31),E31/B31," - ")</f>
        <v>414.8</v>
      </c>
      <c r="G31" s="1084">
        <f>SUBTOTAL(9,G9:G30)</f>
        <v>4368</v>
      </c>
      <c r="H31" s="1085">
        <f>IF(ISNUMBER(G31/B31),G31/B31," - ")</f>
        <v>436.8</v>
      </c>
      <c r="I31" s="1084">
        <f>SUBTOTAL(9,I9:I30)</f>
        <v>4662</v>
      </c>
      <c r="J31" s="1085">
        <f>IF(ISNUMBER(I31/B31),I31/B31," - ")</f>
        <v>466.2</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QxFTDqa7OFfTgDjYSrjnqfL/RXNLpFuJBg3uZzS2fOWXtV/MPCyuCvCRwsXLPTAVca6SXyBzws0tXpB1PjV3Sg==" saltValue="g0PhrTcQL5GhdceNKg7nx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GALICIA</v>
      </c>
      <c r="F1" s="856"/>
      <c r="W1"/>
      <c r="X1"/>
      <c r="BE1" s="856"/>
    </row>
    <row r="2" spans="1:65" ht="16.5" customHeight="1">
      <c r="C2" s="567" t="str">
        <f>Criterios!A10 &amp;"  "&amp;Criterios!B10 &amp; "  " &amp; IF(NOT(ISBLANK(Criterios!A11)),Criterios!A11 &amp;"  "&amp;Criterios!B11,"")</f>
        <v>Provincias  OURENSE  Resumenes por Partidos Judiciales  OURENSE</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2 al 2</v>
      </c>
      <c r="D5" s="1882" t="s">
        <v>546</v>
      </c>
      <c r="E5" s="1882" t="s">
        <v>749</v>
      </c>
      <c r="F5" s="1893" t="s">
        <v>527</v>
      </c>
      <c r="G5" s="1882" t="s">
        <v>173</v>
      </c>
      <c r="H5" s="1882" t="s">
        <v>898</v>
      </c>
      <c r="I5" s="1882" t="s">
        <v>899</v>
      </c>
      <c r="J5" s="1882" t="s">
        <v>902</v>
      </c>
      <c r="K5" s="1882" t="s">
        <v>903</v>
      </c>
      <c r="L5" s="1882" t="s">
        <v>780</v>
      </c>
      <c r="M5" s="1882" t="s">
        <v>924</v>
      </c>
      <c r="N5" s="1882" t="s">
        <v>904</v>
      </c>
      <c r="O5" s="1882" t="s">
        <v>900</v>
      </c>
      <c r="P5" s="1882" t="s">
        <v>229</v>
      </c>
      <c r="Q5" s="1882" t="s">
        <v>879</v>
      </c>
      <c r="R5" s="1882" t="s">
        <v>925</v>
      </c>
      <c r="S5" s="1882" t="str">
        <f>"Ingreso Computable 2003" &amp; IF(OR(EXACT(LEFT(boletin,2),"04"),EXACT(LEFT(boletin,2),"14"),EXACT(LEFT(boletin,2),"17"))," (Civil + Penal)","")</f>
        <v>Ingreso Computable 2003</v>
      </c>
      <c r="T5" s="1882" t="s">
        <v>901</v>
      </c>
      <c r="U5" s="1888" t="str">
        <f>"% Ingreso Computable 2003" &amp; IF(OR(EXACT(LEFT(boletin,2),"04"),EXACT(LEFT(boletin,2),"14"),EXACT(LEFT(boletin,2),"17"))," (Civil + Penal)","")</f>
        <v>% Ingreso Computable 2003</v>
      </c>
      <c r="V5" s="1888" t="s">
        <v>905</v>
      </c>
      <c r="W5" s="1882" t="s">
        <v>1029</v>
      </c>
      <c r="X5" s="1882" t="s">
        <v>1030</v>
      </c>
      <c r="Y5" s="1902" t="s">
        <v>870</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906</v>
      </c>
      <c r="AC5" s="1939" t="s">
        <v>907</v>
      </c>
      <c r="AD5" s="1939" t="s">
        <v>908</v>
      </c>
      <c r="AE5" s="1939" t="s">
        <v>909</v>
      </c>
      <c r="AF5" s="1882" t="s">
        <v>910</v>
      </c>
      <c r="AG5" s="1882" t="s">
        <v>911</v>
      </c>
      <c r="AH5" s="1882" t="s">
        <v>912</v>
      </c>
      <c r="AI5" s="1882" t="s">
        <v>913</v>
      </c>
      <c r="AJ5" s="1882" t="s">
        <v>243</v>
      </c>
      <c r="AK5" s="1911" t="s">
        <v>715</v>
      </c>
      <c r="AL5" s="1911" t="s">
        <v>244</v>
      </c>
      <c r="AM5" s="1882" t="s">
        <v>759</v>
      </c>
      <c r="AN5" s="1882" t="s">
        <v>322</v>
      </c>
      <c r="AO5" s="1882" t="s">
        <v>323</v>
      </c>
      <c r="AP5" s="1882" t="s">
        <v>914</v>
      </c>
      <c r="AQ5" s="1882" t="s">
        <v>915</v>
      </c>
      <c r="AR5" s="1882" t="s">
        <v>916</v>
      </c>
      <c r="AS5" s="1882" t="s">
        <v>917</v>
      </c>
      <c r="AT5" s="1882" t="s">
        <v>918</v>
      </c>
      <c r="AU5" s="1882" t="s">
        <v>919</v>
      </c>
      <c r="AV5" s="1882" t="s">
        <v>920</v>
      </c>
      <c r="AW5" s="1882" t="s">
        <v>921</v>
      </c>
      <c r="AX5" s="1882" t="s">
        <v>1112</v>
      </c>
      <c r="AY5" s="1882" t="s">
        <v>1116</v>
      </c>
      <c r="AZ5" s="1882" t="s">
        <v>922</v>
      </c>
      <c r="BA5" s="1882" t="s">
        <v>923</v>
      </c>
      <c r="BB5" s="1882" t="s">
        <v>714</v>
      </c>
      <c r="BC5" s="1708" t="s">
        <v>930</v>
      </c>
      <c r="BD5" s="1708" t="s">
        <v>931</v>
      </c>
      <c r="BE5" s="1893" t="s">
        <v>932</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6</v>
      </c>
      <c r="B9" s="745" t="s">
        <v>321</v>
      </c>
      <c r="C9" s="765" t="str">
        <f>Datos!A9</f>
        <v xml:space="preserve">Jdos. 1ª Instancia   </v>
      </c>
      <c r="D9" s="593"/>
      <c r="E9" s="904">
        <f>IF(ISNUMBER(Datos!AQ9),Datos!AQ9," - ")</f>
        <v>6</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78</v>
      </c>
      <c r="G10" s="906">
        <f>IF(ISNUMBER(Datos!I10),Datos!I10," - ")</f>
        <v>78</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8</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24</v>
      </c>
      <c r="AC10" s="905" t="str">
        <f>IF(ISNUMBER(IF(D_I="SI",DatosP!K18,DatosP!K18+DatosP!AE18)),IF(D_I="SI",DatosP!K18,DatosP!K18+DatosP!AE18)," - ")</f>
        <v xml:space="preserve"> - </v>
      </c>
      <c r="AD10" s="907"/>
      <c r="AE10" s="907"/>
      <c r="AF10" s="910">
        <f>IF(ISNUMBER(Datos!L10),Datos!L10,"-")</f>
        <v>75</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6</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9.375</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1</v>
      </c>
      <c r="B11" s="746" t="s">
        <v>321</v>
      </c>
      <c r="C11" s="747" t="str">
        <f>Datos!A11</f>
        <v xml:space="preserve">Jdos. Familia                                   </v>
      </c>
      <c r="D11" s="601"/>
      <c r="E11" s="904">
        <f>IF(ISNUMBER(Datos!AQ11),Datos!AQ11," - ")</f>
        <v>1</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0</v>
      </c>
      <c r="B12" s="746" t="s">
        <v>321</v>
      </c>
      <c r="C12" s="747" t="str">
        <f>Datos!A12</f>
        <v xml:space="preserve">Jdos. 1ª Instª. e Instr.                        </v>
      </c>
      <c r="D12" s="601"/>
      <c r="E12" s="904">
        <f>IF(ISNUMBER(Datos!AQ12),Datos!AQ12," - ")</f>
        <v>0</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0</v>
      </c>
      <c r="O12" s="907">
        <f>IF(ISNUMBER(DatosP!P17),DatosP!P17,0)</f>
        <v>0</v>
      </c>
      <c r="P12" s="907" t="str">
        <f>IF(ISNUMBER(DatosP!DE17),DatosP!DE17," - ")</f>
        <v xml:space="preserve"> - </v>
      </c>
      <c r="Q12" s="908"/>
      <c r="R12" s="908"/>
      <c r="S12" s="907" t="str">
        <f>IF(ISNUMBER(Datos!AS12*(2500/380)+DatosP!AS17),Datos!AS12*(2500/380)+DatosP!AS17," - ")</f>
        <v xml:space="preserve"> - </v>
      </c>
      <c r="T12" s="907" t="str">
        <f>IF(ISNUMBER(DatosP!AS17/E12),DatosP!AS17/E12," - ")</f>
        <v xml:space="preserve"> - </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t="str">
        <f>IF(ISNUMBER(Datos!Q12),Datos!Q12," - ")</f>
        <v xml:space="preserve"> - </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t="str">
        <f>IF(ISNUMBER(Datos!R12),Datos!R12," - ")</f>
        <v xml:space="preserve"> - </v>
      </c>
      <c r="AI12" s="911" t="str">
        <f>IF(ISNUMBER(DatosP!R17),DatosP!R17," - ")</f>
        <v xml:space="preserve"> - </v>
      </c>
      <c r="AJ12" s="904">
        <f>IF(ISNUMBER(Datos!BV12+DatosP!BV17),Datos!BV12+DatosP!BV17," - ")</f>
        <v>0</v>
      </c>
      <c r="AK12" s="912" t="str">
        <f>IF(ISNUMBER(Datos!DV12),Datos!DV12," - ")</f>
        <v xml:space="preserve"> - </v>
      </c>
      <c r="AL12" s="905" t="str">
        <f>IF(ISNUMBER(Datos!M12+DatosP!M17),Datos!M12+DatosP!M17," - ")</f>
        <v xml:space="preserve"> - </v>
      </c>
      <c r="AM12" s="914" t="str">
        <f>IF(ISNUMBER(Datos!N12+DatosP!N17),Datos!N12+DatosP!N17," - ")</f>
        <v xml:space="preserve"> - </v>
      </c>
      <c r="AN12" s="914">
        <f>IF(ISNUMBER(Datos!BW12+DatosP!BW17),Datos!BW12+DatosP!BW17," - ")</f>
        <v>0</v>
      </c>
      <c r="AO12" s="915">
        <f>IF(ISNUMBER(Datos!BX12+DatosP!BX17),Datos!BX12+DatosP!BX17," - ")</f>
        <v>0</v>
      </c>
      <c r="AP12" s="917" t="str">
        <f>IF(ISNUMBER(((IF(J_V="SI",Datos!L12/Datos!K12,(Datos!L12+Datos!AB12)/(Datos!K12+Datos!AA12)))*11)/factor_trimestre),((IF(J_V="SI",Datos!L12/Datos!K12,(Datos!L12+Datos!AB12)/(Datos!K12+Datos!AA12)))*11)/factor_trimestre," - ")</f>
        <v xml:space="preserve"> - </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t="str">
        <f>IF(ISNUMBER((Datos!P12-Datos!Q12+Datos!DE12)/(Datos!R12-Datos!P12+Datos!Q12-Datos!DE12)),(Datos!P12-Datos!Q12+Datos!DE12)/(Datos!R12-Datos!P12+Datos!Q12-Datos!DE12)," - ")</f>
        <v xml:space="preserve"> - </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7</v>
      </c>
      <c r="F14" s="1256">
        <f t="shared" si="0"/>
        <v>78</v>
      </c>
      <c r="G14" s="1256">
        <f t="shared" si="0"/>
        <v>78</v>
      </c>
      <c r="H14" s="1256">
        <f t="shared" si="0"/>
        <v>0</v>
      </c>
      <c r="I14" s="1258">
        <f t="shared" si="0"/>
        <v>0</v>
      </c>
      <c r="J14" s="1257">
        <f t="shared" si="0"/>
        <v>0</v>
      </c>
      <c r="K14" s="1257">
        <f t="shared" si="0"/>
        <v>0</v>
      </c>
      <c r="L14" s="1259">
        <f t="shared" si="0"/>
        <v>0</v>
      </c>
      <c r="M14" s="1259">
        <f t="shared" si="0"/>
        <v>0</v>
      </c>
      <c r="N14" s="1257">
        <f t="shared" si="0"/>
        <v>8</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24</v>
      </c>
      <c r="AC14" s="1257">
        <f t="shared" si="1"/>
        <v>0</v>
      </c>
      <c r="AD14" s="1257">
        <f t="shared" si="1"/>
        <v>0</v>
      </c>
      <c r="AE14" s="1257">
        <f t="shared" si="1"/>
        <v>0</v>
      </c>
      <c r="AF14" s="1257">
        <f t="shared" si="1"/>
        <v>75</v>
      </c>
      <c r="AG14" s="1257">
        <f t="shared" si="1"/>
        <v>0</v>
      </c>
      <c r="AH14" s="1257">
        <f t="shared" si="1"/>
        <v>0</v>
      </c>
      <c r="AI14" s="1257">
        <f t="shared" si="1"/>
        <v>0</v>
      </c>
      <c r="AJ14" s="1257">
        <f t="shared" si="1"/>
        <v>0</v>
      </c>
      <c r="AK14" s="1257">
        <f t="shared" si="1"/>
        <v>0</v>
      </c>
      <c r="AL14" s="1257">
        <f t="shared" si="1"/>
        <v>6</v>
      </c>
      <c r="AM14" s="1257">
        <f t="shared" si="1"/>
        <v>0</v>
      </c>
      <c r="AN14" s="1257">
        <f t="shared" si="1"/>
        <v>0</v>
      </c>
      <c r="AO14" s="1257">
        <f t="shared" si="1"/>
        <v>0</v>
      </c>
      <c r="AP14" s="1262">
        <f>IF(ISNUMBER(((Datos!L14/Datos!K14)*11)/factor_trimestre),((Datos!L14/Datos!K14)*11)/factor_trimestre," - ")</f>
        <v>4.3522099447513813</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-0.30769230769230771</v>
      </c>
      <c r="AU14" s="1257" t="str">
        <f>IF(ISNUMBER((DatosP!#REF!-DatosP!#REF!+DatosP!#REF!)/(DatosP!#REF!+DatosP!#REF!-DatosP!#REF!-DatosP!#REF!)),(DatosP!#REF!-DatosP!#REF!+DatosP!#REF!)/(DatosP!#REF!+DatosP!#REF!-DatosP!#REF!-DatosP!#REF!)," - ")</f>
        <v xml:space="preserve"> - </v>
      </c>
      <c r="AV14" s="1263">
        <f>SUBTOTAL(9,AV9:AV13)</f>
        <v>0</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3</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0</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2.207056101792944</v>
      </c>
      <c r="AQ23" s="1262">
        <f>IF(ISNUMBER(((Datos!M23/Datos!L23)*11)/factor_trimestre),((Datos!M23/Datos!L23)*11)/factor_trimestre," - ")</f>
        <v>0.83726415094339635</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-0.1111111111111111</v>
      </c>
      <c r="AW23" s="1265">
        <f>IF(ISNUMBER((Datos!Q23-Datos!R23)/(Datos!S23-Datos!Q23+Datos!R23)),(Datos!Q23-Datos!R23)/(Datos!S23-Datos!Q23+Datos!R23)," - ")</f>
        <v>-4.9438202247191011E-2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765</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7</v>
      </c>
      <c r="F31" s="1278">
        <f t="shared" si="8"/>
        <v>78</v>
      </c>
      <c r="G31" s="1278">
        <f t="shared" si="8"/>
        <v>78</v>
      </c>
      <c r="H31" s="1278">
        <f t="shared" si="8"/>
        <v>0</v>
      </c>
      <c r="I31" s="1279">
        <f t="shared" si="8"/>
        <v>0</v>
      </c>
      <c r="J31" s="1280">
        <f t="shared" si="8"/>
        <v>0</v>
      </c>
      <c r="K31" s="1280">
        <f t="shared" si="8"/>
        <v>0</v>
      </c>
      <c r="L31" s="1280">
        <f t="shared" si="8"/>
        <v>0</v>
      </c>
      <c r="M31" s="1280">
        <f t="shared" si="8"/>
        <v>0</v>
      </c>
      <c r="N31" s="1279">
        <f t="shared" si="8"/>
        <v>8</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24</v>
      </c>
      <c r="AC31" s="1284">
        <f t="shared" si="9"/>
        <v>0</v>
      </c>
      <c r="AD31" s="1284">
        <f t="shared" si="9"/>
        <v>0</v>
      </c>
      <c r="AE31" s="1284">
        <f t="shared" si="9"/>
        <v>0</v>
      </c>
      <c r="AF31" s="1285">
        <f t="shared" si="9"/>
        <v>75</v>
      </c>
      <c r="AG31" s="1285">
        <f t="shared" si="9"/>
        <v>0</v>
      </c>
      <c r="AH31" s="1285">
        <f t="shared" si="9"/>
        <v>0</v>
      </c>
      <c r="AI31" s="1285">
        <f t="shared" si="9"/>
        <v>0</v>
      </c>
      <c r="AJ31" s="1286">
        <f t="shared" si="9"/>
        <v>0</v>
      </c>
      <c r="AK31" s="1286">
        <f t="shared" si="9"/>
        <v>0</v>
      </c>
      <c r="AL31" s="1278">
        <f t="shared" si="9"/>
        <v>6</v>
      </c>
      <c r="AM31" s="1278">
        <f t="shared" si="9"/>
        <v>0</v>
      </c>
      <c r="AN31" s="1278">
        <f t="shared" si="9"/>
        <v>0</v>
      </c>
      <c r="AO31" s="1278">
        <f t="shared" si="9"/>
        <v>0</v>
      </c>
      <c r="AP31" s="1278">
        <f>IF(ISNUMBER(((Datos!L31/Datos!K31)*11)/factor_trimestre),((Datos!L31/Datos!K31)*11)/factor_trimestre," - ")</f>
        <v>3.4014355293514491</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-0.30769230769230771</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-9.0136492402781356E-4</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31.2</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2.8333333333333335</v>
      </c>
      <c r="F33" s="1006">
        <f>IF(ISNUMBER(STDEV(F8:F30)),STDEV(F8:F30),"-")</f>
        <v>42.722359485402954</v>
      </c>
      <c r="G33" s="1007">
        <f>IF(ISNUMBER(STDEV(G8:G30)),STDEV(G8:G30),"-")</f>
        <v>42.722359485402954</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13.145341380123988</v>
      </c>
      <c r="AC33" s="1008">
        <f>IF(ISNUMBER(STDEV(AC8:AC30)),STDEV(AC8:AC30),"-")</f>
        <v>0</v>
      </c>
      <c r="AD33" s="1011"/>
      <c r="AE33" s="1011"/>
      <c r="AF33" s="1011"/>
      <c r="AG33" s="1011"/>
      <c r="AH33" s="1011"/>
      <c r="AI33" s="1011"/>
      <c r="AJ33" s="1012">
        <f>IF(ISNUMBER(STDEV(AJ8:AJ30)),STDEV(AJ8:AJ30),"-")</f>
        <v>0</v>
      </c>
      <c r="AK33" s="1014"/>
      <c r="AL33" s="1006">
        <f>IF(ISNUMBER(STDEV(AL8:AL30)),STDEV(AL8:AL30),"-")</f>
        <v>3.2863353450309969</v>
      </c>
      <c r="AM33" s="1006"/>
      <c r="AN33" s="1006">
        <f>IF(ISNUMBER(STDEV(AN8:AN30)),STDEV(AN8:AN30),"-")</f>
        <v>0</v>
      </c>
      <c r="AO33" s="1012">
        <f>IF(ISNUMBER(STDEV(AO8:AO30)),STDEV(AO8:AO30),"-")</f>
        <v>0</v>
      </c>
      <c r="AP33" s="1065">
        <f>IF(ISNUMBER(STDEV(AP8:AP30)),STDEV(AP8:AP30),"-")</f>
        <v>3.6789836612146822</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Fl2wmSm4O5vWkSWaG+BnESc8leoXkRfhe65oxgoLRVpIO8DGVrMAgjn9LRMrJOEm7gYsCedAdy6ofCvibpktbQ==" saltValue="YNKGRt0toQXZ1pXhoXZnN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GALICIA</v>
      </c>
      <c r="C2" s="436"/>
      <c r="E2" s="436"/>
      <c r="F2" s="436"/>
      <c r="G2" s="436"/>
      <c r="H2" s="436"/>
    </row>
    <row r="3" spans="1:15" ht="39">
      <c r="A3" s="463" t="s">
        <v>280</v>
      </c>
      <c r="B3" s="439" t="str">
        <f>Criterios!A10 &amp;"  "&amp;Criterios!B10</f>
        <v>Provincias  OURENSE</v>
      </c>
      <c r="C3" s="463"/>
      <c r="F3" s="436"/>
      <c r="G3" s="436"/>
      <c r="H3" s="436"/>
    </row>
    <row r="4" spans="1:15" ht="13.5" thickBot="1">
      <c r="A4" s="436"/>
      <c r="B4" s="439" t="str">
        <f>Criterios!A11 &amp;"  "&amp;Criterios!B11</f>
        <v>Resumenes por Partidos Judiciales  OURENSE</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6</v>
      </c>
      <c r="D9" s="451">
        <f>Datos!BK9</f>
        <v>0</v>
      </c>
      <c r="E9" s="451">
        <f>Datos!AQ9</f>
        <v>6</v>
      </c>
      <c r="F9" s="452">
        <f>IF(ISNUMBER(E9/Datos!BH9),E9/Datos!BH9," - ")</f>
        <v>1</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1</v>
      </c>
      <c r="D11" s="451">
        <f>Datos!BK11</f>
        <v>0</v>
      </c>
      <c r="E11" s="451">
        <f>Datos!AQ11</f>
        <v>1</v>
      </c>
      <c r="F11" s="452">
        <f>IF(ISNUMBER(E11/Datos!BH11),E11/Datos!BH11," - ")</f>
        <v>1</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0</v>
      </c>
      <c r="D12" s="451">
        <f>Datos!BK12</f>
        <v>0</v>
      </c>
      <c r="E12" s="451">
        <f>Datos!AQ12</f>
        <v>0</v>
      </c>
      <c r="F12" s="452" t="str">
        <f>IF(ISNUMBER(E12/Datos!BH12),E12/Datos!BH12," - ")</f>
        <v xml:space="preserve"> - </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3</v>
      </c>
      <c r="D16" s="451">
        <f>Datos!BK16</f>
        <v>0</v>
      </c>
      <c r="E16" s="451">
        <f>Datos!AQ16</f>
        <v>3</v>
      </c>
      <c r="F16" s="452">
        <f>IF(ISNUMBER(E16/Datos!BH16),E16/Datos!BH16," - ")</f>
        <v>1</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0</v>
      </c>
      <c r="D17" s="451">
        <f>Datos!BK17</f>
        <v>0</v>
      </c>
      <c r="E17" s="451">
        <f>Datos!AQ17</f>
        <v>0</v>
      </c>
      <c r="F17" s="452" t="str">
        <f>IF(ISNUMBER(E17/Datos!BH17),E17/Datos!BH17," - ")</f>
        <v xml:space="preserve"> - </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DPvsWhrwx/xyOB5jNJmaLO+eE29XAp9u/F/5vm9dlwmgMMCZ1Cf16IeLgXa4pZBklHA1ruf9WJS0QrV+KFEC8A==" saltValue="JoGA4OXoIjCF6PpgD396jA=="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GALICIA</v>
      </c>
      <c r="C2" s="475"/>
      <c r="D2" s="418"/>
    </row>
    <row r="3" spans="1:9" ht="19.5">
      <c r="A3" s="476" t="s">
        <v>16</v>
      </c>
      <c r="B3" s="477" t="str">
        <f>Criterios!A10 &amp;"  "&amp;Criterios!B10</f>
        <v>Provincias  OURENSE</v>
      </c>
      <c r="C3" s="475"/>
      <c r="D3" s="476"/>
    </row>
    <row r="4" spans="1:9" ht="13.5" thickBot="1">
      <c r="B4" s="477" t="str">
        <f>Criterios!A11 &amp;"  "&amp;Criterios!B11</f>
        <v>Resumenes por Partidos Judiciales  OURENSE</v>
      </c>
    </row>
    <row r="5" spans="1:9" ht="15.75" customHeight="1">
      <c r="A5" s="1591" t="str">
        <f>"Año:  " &amp;Criterios!B5 &amp; "                  Trimestre   " &amp;Criterios!D5 &amp; " al " &amp;Criterios!D6</f>
        <v>Año:  2022                  Trimestre   2 al 2</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6</v>
      </c>
      <c r="C9" s="458">
        <f>Datos!AQ9</f>
        <v>6</v>
      </c>
      <c r="D9" s="451">
        <f>IF(ISNUMBER(Datos!M9),Datos!M9," - ")</f>
        <v>602</v>
      </c>
      <c r="E9" s="452">
        <f t="shared" ref="E9:E14" si="0">IF(ISNUMBER(D9/B9),D9/B9," - ")</f>
        <v>100.33333333333333</v>
      </c>
      <c r="F9" s="451">
        <f>IF(ISNUMBER(Datos!N9),Datos!N9," - ")</f>
        <v>773</v>
      </c>
      <c r="G9" s="452">
        <f t="shared" ref="G9:G14" si="1">IF(ISNUMBER(F9/B9),F9/B9," - ")</f>
        <v>128.83333333333334</v>
      </c>
      <c r="H9" s="451">
        <f>IF(ISNUMBER(Datos!O9),Datos!O9," - ")</f>
        <v>921</v>
      </c>
      <c r="I9" s="452">
        <f>IF(ISNUMBER(H9/B9),H9/B9," - ")</f>
        <v>153.5</v>
      </c>
    </row>
    <row r="10" spans="1:9">
      <c r="A10" s="450" t="str">
        <f>Datos!A10</f>
        <v>Jdos. Violencia contra la mujer</v>
      </c>
      <c r="B10" s="480">
        <f>Datos!AO10</f>
        <v>1</v>
      </c>
      <c r="C10" s="458">
        <f>Datos!AQ10</f>
        <v>0</v>
      </c>
      <c r="D10" s="451">
        <f>IF(ISNUMBER(Datos!M10),Datos!M10," - ")</f>
        <v>6</v>
      </c>
      <c r="E10" s="452">
        <f>IF(ISNUMBER(D10/B10),D10/B10," - ")</f>
        <v>6</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1</v>
      </c>
      <c r="C11" s="458">
        <f>Datos!AQ11</f>
        <v>1</v>
      </c>
      <c r="D11" s="451">
        <f>IF(ISNUMBER(Datos!M11),Datos!M11," - ")</f>
        <v>125</v>
      </c>
      <c r="E11" s="452">
        <f t="shared" si="0"/>
        <v>125</v>
      </c>
      <c r="F11" s="451">
        <f>IF(ISNUMBER(Datos!N11),Datos!N11," - ")</f>
        <v>411</v>
      </c>
      <c r="G11" s="452">
        <f t="shared" si="1"/>
        <v>411</v>
      </c>
      <c r="H11" s="451">
        <f>IF(ISNUMBER(Datos!O11),Datos!O11," - ")</f>
        <v>161</v>
      </c>
      <c r="I11" s="452">
        <f t="shared" si="2"/>
        <v>161</v>
      </c>
    </row>
    <row r="12" spans="1:9">
      <c r="A12" s="450" t="str">
        <f>Datos!A12</f>
        <v xml:space="preserve">Jdos. 1ª Instª. e Instr.                        </v>
      </c>
      <c r="B12" s="480">
        <f>Datos!AO12</f>
        <v>0</v>
      </c>
      <c r="C12" s="458">
        <f>Datos!AQ12</f>
        <v>0</v>
      </c>
      <c r="D12" s="451" t="str">
        <f>IF(ISNUMBER(Datos!M12),Datos!M12," - ")</f>
        <v xml:space="preserve"> - </v>
      </c>
      <c r="E12" s="452" t="str">
        <f t="shared" si="0"/>
        <v xml:space="preserve"> - </v>
      </c>
      <c r="F12" s="451" t="str">
        <f>IF(ISNUMBER(Datos!N12),Datos!N12," - ")</f>
        <v xml:space="preserve"> - </v>
      </c>
      <c r="G12" s="452" t="str">
        <f t="shared" si="1"/>
        <v xml:space="preserve"> - </v>
      </c>
      <c r="H12" s="451" t="str">
        <f>IF(ISNUMBER(Datos!O12),Datos!O12," - ")</f>
        <v xml:space="preserve"> - </v>
      </c>
      <c r="I12" s="452" t="str">
        <f t="shared" si="2"/>
        <v xml:space="preserve"> - </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8</v>
      </c>
      <c r="C14" s="1148">
        <f>Datos!AR14</f>
        <v>7</v>
      </c>
      <c r="D14" s="1146">
        <f>SUBTOTAL(9,D9:D13)</f>
        <v>733</v>
      </c>
      <c r="E14" s="1147">
        <f t="shared" si="0"/>
        <v>91.625</v>
      </c>
      <c r="F14" s="1146">
        <f>SUBTOTAL(9,F9:F13)</f>
        <v>1184</v>
      </c>
      <c r="G14" s="1147">
        <f t="shared" si="1"/>
        <v>148</v>
      </c>
      <c r="H14" s="1146">
        <f>SUBTOTAL(9,H9:H13)</f>
        <v>1082</v>
      </c>
      <c r="I14" s="1147">
        <f>IF(ISNUMBER(H14/B14),H14/B14," - ")</f>
        <v>135.25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3</v>
      </c>
      <c r="C16" s="481">
        <f>Datos!AQ16</f>
        <v>3</v>
      </c>
      <c r="D16" s="451">
        <f>IF(ISNUMBER(Datos!M16),Datos!M16," - ")</f>
        <v>282</v>
      </c>
      <c r="E16" s="452">
        <f t="shared" ref="E16:E23" si="3">IF(ISNUMBER(D16/B16),D16/B16," - ")</f>
        <v>94</v>
      </c>
      <c r="F16" s="451">
        <f>IF(ISNUMBER(Datos!N16),Datos!N16," - ")</f>
        <v>737</v>
      </c>
      <c r="G16" s="452">
        <f t="shared" ref="G16:G23" si="4">IF(ISNUMBER(F16/B16),F16/B16," - ")</f>
        <v>245.66666666666666</v>
      </c>
      <c r="H16" s="451">
        <f>IF(ISNUMBER(Datos!O16),Datos!O16," - ")</f>
        <v>23</v>
      </c>
      <c r="I16" s="452">
        <f t="shared" ref="I16:I22" si="5">IF(ISNUMBER(H16/B16),H16/B16," - ")</f>
        <v>7.666666666666667</v>
      </c>
    </row>
    <row r="17" spans="1:9">
      <c r="A17" s="450" t="str">
        <f>Datos!A17</f>
        <v xml:space="preserve">Jdos. 1ª Instª. e Instr.                        </v>
      </c>
      <c r="B17" s="480">
        <f>Datos!AO17</f>
        <v>0</v>
      </c>
      <c r="C17" s="481">
        <f>Datos!AQ17</f>
        <v>0</v>
      </c>
      <c r="D17" s="451">
        <f>IF(ISNUMBER(Datos!M17),Datos!M17," - ")</f>
        <v>0</v>
      </c>
      <c r="E17" s="452" t="str">
        <f t="shared" si="3"/>
        <v xml:space="preserve"> - </v>
      </c>
      <c r="F17" s="451">
        <f>IF(ISNUMBER(Datos!N17),Datos!N17," - ")</f>
        <v>0</v>
      </c>
      <c r="G17" s="452" t="str">
        <f t="shared" si="4"/>
        <v xml:space="preserve"> - </v>
      </c>
      <c r="H17" s="451">
        <f>IF(ISNUMBER(Datos!O17),Datos!O17," - ")</f>
        <v>0</v>
      </c>
      <c r="I17" s="452" t="str">
        <f t="shared" si="5"/>
        <v xml:space="preserve"> - </v>
      </c>
    </row>
    <row r="18" spans="1:9">
      <c r="A18" s="450" t="str">
        <f>Datos!A18</f>
        <v>Jdos. Violencia contra la mujer</v>
      </c>
      <c r="B18" s="480">
        <f>Datos!AO18</f>
        <v>1</v>
      </c>
      <c r="C18" s="481">
        <f>Datos!AQ18</f>
        <v>0</v>
      </c>
      <c r="D18" s="451">
        <f>IF(ISNUMBER(Datos!M18),Datos!M18," - ")</f>
        <v>73</v>
      </c>
      <c r="E18" s="452">
        <f>IF(ISNUMBER(D18/B18),D18/B18," - ")</f>
        <v>73</v>
      </c>
      <c r="F18" s="451">
        <f>IF(ISNUMBER(Datos!N18),Datos!N18," - ")</f>
        <v>138</v>
      </c>
      <c r="G18" s="452">
        <f>IF(ISNUMBER(F18/B18),F18/B18," - ")</f>
        <v>138</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4</v>
      </c>
      <c r="C23" s="1148">
        <f>Datos!AR23</f>
        <v>3</v>
      </c>
      <c r="D23" s="1146">
        <f>SUBTOTAL(9,D16:D22)</f>
        <v>355</v>
      </c>
      <c r="E23" s="1147">
        <f t="shared" si="3"/>
        <v>88.75</v>
      </c>
      <c r="F23" s="1146">
        <f>SUBTOTAL(9,F16:F22)</f>
        <v>875</v>
      </c>
      <c r="G23" s="1147">
        <f t="shared" si="4"/>
        <v>218.75</v>
      </c>
      <c r="H23" s="1146">
        <f>SUBTOTAL(9,H16:H22)</f>
        <v>23</v>
      </c>
      <c r="I23" s="1147">
        <f>IF(ISNUMBER(H23/B23),H23/B23," - ")</f>
        <v>5.75</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10</v>
      </c>
      <c r="C31" s="1084">
        <f>Datos!AR31</f>
        <v>10</v>
      </c>
      <c r="D31" s="1084">
        <f>SUBTOTAL(9,D8:D30)</f>
        <v>1088</v>
      </c>
      <c r="E31" s="1085">
        <f>IF(ISNUMBER(D31/B31),D31/B31," - ")</f>
        <v>108.8</v>
      </c>
      <c r="F31" s="1084">
        <f>SUBTOTAL(9,F8:F30)</f>
        <v>2059</v>
      </c>
      <c r="G31" s="1085">
        <f>IF(ISNUMBER(F31/B31),F31/B31," - ")</f>
        <v>205.9</v>
      </c>
      <c r="H31" s="1084">
        <f>SUBTOTAL(9,H8:H30)</f>
        <v>1105</v>
      </c>
      <c r="I31" s="1085">
        <f>IF(ISNUMBER(H31/B31),H31/B31," - ")</f>
        <v>110.5</v>
      </c>
    </row>
    <row r="34" spans="1:1">
      <c r="A34" s="439" t="str">
        <f>Criterios!A4</f>
        <v>Fecha Informe: 06 may. 2023</v>
      </c>
    </row>
    <row r="39" spans="1:1">
      <c r="A39" s="462"/>
    </row>
  </sheetData>
  <sheetProtection algorithmName="SHA-512" hashValue="UU25j4SzTgiiVZEtJ/UUKQ39/K+8nUlyirvL2JV+5wdvUBPnxSCy+SnO4iJgg5crVfqCh//jgvkr07CDBjO8ug==" saltValue="zmt62zEsIcHZAugxeNvq4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GALICIA</v>
      </c>
    </row>
    <row r="3" spans="1:4" ht="19.5">
      <c r="A3" s="484" t="s">
        <v>48</v>
      </c>
      <c r="B3" s="439" t="str">
        <f>Criterios!A10 &amp;"  "&amp;Criterios!B10</f>
        <v>Provincias  OURENSE</v>
      </c>
    </row>
    <row r="4" spans="1:4" ht="13.5" thickBot="1">
      <c r="B4" s="439" t="str">
        <f>Criterios!A11 &amp;"  "&amp;Criterios!B11</f>
        <v>Resumenes por Partidos Judiciales  OURENSE</v>
      </c>
    </row>
    <row r="5" spans="1:4" ht="12.75" customHeight="1">
      <c r="A5" s="1591" t="str">
        <f>"Año:  " &amp;Criterios!B5 &amp; "                  Trimestre   " &amp;Criterios!D5 &amp; " al " &amp;Criterios!D6</f>
        <v>Año:  2022                  Trimestre   2 al 2</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f>IF(ISNUMBER(Datos!P9),Datos!P9," - ")</f>
        <v>453</v>
      </c>
      <c r="C9" s="489">
        <f>IF(ISNUMBER(Datos!Q9),Datos!Q9," - ")</f>
        <v>459</v>
      </c>
      <c r="D9" s="456">
        <f>IF(ISNUMBER(Datos!R9),Datos!R9," - ")</f>
        <v>6620</v>
      </c>
    </row>
    <row r="10" spans="1:4">
      <c r="A10" s="450" t="str">
        <f>Datos!A10</f>
        <v>Jdos. Violencia contra la mujer</v>
      </c>
      <c r="B10" s="488">
        <f>IF(ISNUMBER(Datos!P10),Datos!P10," - ")</f>
        <v>8</v>
      </c>
      <c r="C10" s="489">
        <f>IF(ISNUMBER(Datos!Q10),Datos!Q10," - ")</f>
        <v>5</v>
      </c>
      <c r="D10" s="456">
        <f>IF(ISNUMBER(Datos!R10),Datos!R10," - ")</f>
        <v>31</v>
      </c>
    </row>
    <row r="11" spans="1:4">
      <c r="A11" s="450" t="str">
        <f>Datos!A11</f>
        <v xml:space="preserve">Jdos. Familia                                   </v>
      </c>
      <c r="B11" s="488">
        <f>IF(ISNUMBER(Datos!P11),Datos!P11," - ")</f>
        <v>38</v>
      </c>
      <c r="C11" s="489">
        <f>IF(ISNUMBER(Datos!Q11),Datos!Q11," - ")</f>
        <v>19</v>
      </c>
      <c r="D11" s="456">
        <f>IF(ISNUMBER(Datos!R11),Datos!R11," - ")</f>
        <v>924</v>
      </c>
    </row>
    <row r="12" spans="1:4">
      <c r="A12" s="450" t="str">
        <f>Datos!A12</f>
        <v xml:space="preserve">Jdos. 1ª Instª. e Instr.                        </v>
      </c>
      <c r="B12" s="488" t="str">
        <f>IF(ISNUMBER(Datos!P12),Datos!P12," - ")</f>
        <v xml:space="preserve"> - </v>
      </c>
      <c r="C12" s="489" t="str">
        <f>IF(ISNUMBER(Datos!Q12),Datos!Q12," - ")</f>
        <v xml:space="preserve"> - </v>
      </c>
      <c r="D12" s="456" t="str">
        <f>IF(ISNUMBER(Datos!R12),Datos!R12," - ")</f>
        <v xml:space="preserve"> - </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499</v>
      </c>
      <c r="C14" s="1150">
        <f>SUBTOTAL(9,C9:C13)</f>
        <v>483</v>
      </c>
      <c r="D14" s="1148">
        <f>SUBTOTAL(9,D9:D13)</f>
        <v>7575</v>
      </c>
    </row>
    <row r="15" spans="1:4" ht="13.5" thickTop="1">
      <c r="A15" s="444" t="str">
        <f>Datos!A15</f>
        <v xml:space="preserve">Jurisdicción Penal ( 2 ):                      </v>
      </c>
      <c r="B15" s="454"/>
      <c r="C15" s="490"/>
      <c r="D15" s="456"/>
    </row>
    <row r="16" spans="1:4">
      <c r="A16" s="450" t="str">
        <f>Datos!A16</f>
        <v xml:space="preserve">Jdos. Instrucción                               </v>
      </c>
      <c r="B16" s="488">
        <f>IF(ISNUMBER(Datos!P16),Datos!P16," - ")</f>
        <v>65</v>
      </c>
      <c r="C16" s="489">
        <f>IF(ISNUMBER(Datos!Q16),Datos!Q16," - ")</f>
        <v>92</v>
      </c>
      <c r="D16" s="456">
        <f>IF(ISNUMBER(Datos!R16),Datos!R16," - ")</f>
        <v>174</v>
      </c>
    </row>
    <row r="17" spans="1:4">
      <c r="A17" s="450" t="str">
        <f>Datos!A17</f>
        <v xml:space="preserve">Jdos. 1ª Instª. e Instr.                        </v>
      </c>
      <c r="B17" s="488">
        <f>IF(ISNUMBER(Datos!P17),Datos!P17," - ")</f>
        <v>0</v>
      </c>
      <c r="C17" s="489">
        <f>IF(ISNUMBER(Datos!Q17),Datos!Q17," - ")</f>
        <v>0</v>
      </c>
      <c r="D17" s="456">
        <f>IF(ISNUMBER(Datos!R17),Datos!R17," - ")</f>
        <v>0</v>
      </c>
    </row>
    <row r="18" spans="1:4">
      <c r="A18" s="450" t="str">
        <f>Datos!A18</f>
        <v>Jdos. Violencia contra la mujer</v>
      </c>
      <c r="B18" s="488">
        <f>IF(ISNUMBER(Datos!P18),Datos!P18," - ")</f>
        <v>8</v>
      </c>
      <c r="C18" s="489">
        <f>IF(ISNUMBER(Datos!Q18),Datos!Q18," - ")</f>
        <v>4</v>
      </c>
      <c r="D18" s="456">
        <f>IF(ISNUMBER(Datos!R18),Datos!R18," - ")</f>
        <v>10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73</v>
      </c>
      <c r="C23" s="1150">
        <f>SUBTOTAL(9,C16:C22)</f>
        <v>96</v>
      </c>
      <c r="D23" s="1148">
        <f>SUBTOTAL(9,D16:D22)</f>
        <v>184</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572</v>
      </c>
      <c r="C31" s="1089">
        <f>SUBTOTAL(9,C8:C30)</f>
        <v>579</v>
      </c>
      <c r="D31" s="1090">
        <f>SUBTOTAL(9,D8:D30)</f>
        <v>7759</v>
      </c>
    </row>
    <row r="32" spans="1:4" ht="7.5" customHeight="1"/>
    <row r="33" spans="1:1" ht="6" customHeight="1"/>
    <row r="34" spans="1:1">
      <c r="A34" s="439" t="str">
        <f>Criterios!A4</f>
        <v>Fecha Informe: 06 may. 2023</v>
      </c>
    </row>
    <row r="39" spans="1:1">
      <c r="A39" s="462"/>
    </row>
  </sheetData>
  <sheetProtection algorithmName="SHA-512" hashValue="K8m6F5vS00D98b02Oa47I1nVOmLWztJlfH8aSTUYJ6L1otzEXR4NPvrvJV3qkyzEkLNdzE/k9ls2HEdfu7aTJw==" saltValue="0+qfRwAPO+kurnzM7QCBc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GALICIA</v>
      </c>
    </row>
    <row r="3" spans="1:11" ht="18.75" customHeight="1">
      <c r="A3" s="484" t="s">
        <v>162</v>
      </c>
      <c r="B3" s="439" t="str">
        <f>Criterios!A10 &amp;"  "&amp;Criterios!B10</f>
        <v>Provincias  OURENSE</v>
      </c>
    </row>
    <row r="4" spans="1:11" ht="10.5" customHeight="1" thickBot="1">
      <c r="B4" s="439" t="str">
        <f>Criterios!A11 &amp;"  "&amp;Criterios!B11</f>
        <v>Resumenes por Partidos Judiciales  OURENSE</v>
      </c>
    </row>
    <row r="5" spans="1:11" ht="12.75" customHeight="1">
      <c r="A5" s="1591" t="str">
        <f>"Año:  " &amp;Criterios!B5 &amp; "    Trimestre   " &amp;Criterios!D5 &amp; " al " &amp;Criterios!D6</f>
        <v>Año:  2022    Trimestre   2 al 2</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f>IF(ISNUMBER(
   IF(J_V="SI",(Datos!I9-Datos!S9)/Datos!S9,(Datos!I9+Datos!Y9-(Datos!S9+Datos!AG9))/(Datos!S9+Datos!AG9))
     ),IF(J_V="SI",(Datos!I9-Datos!S9)/Datos!S9,(Datos!I9+Datos!Y9-(Datos!S9+Datos!AG9))/(Datos!S9+Datos!AG9))," - ")</f>
        <v>-0.137104506232023</v>
      </c>
      <c r="C9" s="515">
        <f>IF(ISNUMBER(
   IF(J_V="SI",(Datos!J9-Datos!T9)/Datos!T9,(Datos!J9+Datos!Z9-(Datos!T9+Datos!AH9))/(Datos!T9+Datos!AH9))
     ),IF(J_V="SI",(Datos!J9-Datos!T9)/Datos!T9,(Datos!J9+Datos!Z9-(Datos!T9+Datos!AH9))/(Datos!T9+Datos!AH9))," - ")</f>
        <v>-0.12630085146641437</v>
      </c>
      <c r="D9" s="515">
        <f>IF(ISNUMBER(
   IF(J_V="SI",(Datos!K9-Datos!U9)/Datos!U9,(Datos!K9+Datos!AA9-(Datos!U9+Datos!AI9))/(Datos!U9+Datos!AI9))
     ),IF(J_V="SI",(Datos!K9-Datos!U9)/Datos!U9,(Datos!K9+Datos!AA9-(Datos!U9+Datos!AI9))/(Datos!U9+Datos!AI9))," - ")</f>
        <v>-0.17923763179237631</v>
      </c>
      <c r="E9" s="515">
        <f>IF(ISNUMBER(
   IF(J_V="SI",(Datos!L9-Datos!V9)/Datos!V9,(Datos!L9+Datos!AB9-(Datos!V9+Datos!AJ9))/(Datos!V9+Datos!AJ9))
     ),IF(J_V="SI",(Datos!L9-Datos!V9)/Datos!V9,(Datos!L9+Datos!AB9-(Datos!V9+Datos!AJ9))/(Datos!V9+Datos!AJ9))," - ")</f>
        <v>-8.1382787180410518E-2</v>
      </c>
      <c r="F9" s="515">
        <f>IF(ISNUMBER((Datos!M9-Datos!W9)/Datos!W9),(Datos!M9-Datos!W9)/Datos!W9," - ")</f>
        <v>-4.9586776859504135E-3</v>
      </c>
      <c r="G9" s="516">
        <f>IF(ISNUMBER((Datos!N9-Datos!X9)/Datos!X9),(Datos!N9-Datos!X9)/Datos!X9," - ")</f>
        <v>-0.1533406352683461</v>
      </c>
      <c r="H9" s="514">
        <f>IF(ISNUMBER(((NºAsuntos!G9/NºAsuntos!E9)-Datos!BD9)/Datos!BD9),((NºAsuntos!G9/NºAsuntos!E9)-Datos!BD9)/Datos!BD9," - ")</f>
        <v>-6.0589254796471766E-2</v>
      </c>
      <c r="I9" s="515">
        <f>IF(ISNUMBER(((NºAsuntos!I9/NºAsuntos!G9)-Datos!BE9)/Datos!BE9),((NºAsuntos!I9/NºAsuntos!G9)-Datos!BE9)/Datos!BE9," - ")</f>
        <v>0.11922433142940098</v>
      </c>
      <c r="J9" s="521">
        <f>IF(ISNUMBER((('Resol  Asuntos'!D9/NºAsuntos!G9)-Datos!BF9)/Datos!BF9),(('Resol  Asuntos'!D9/NºAsuntos!G9)-Datos!BF9)/Datos!BF9," - ")</f>
        <v>-0.19664356311339501</v>
      </c>
      <c r="K9" s="522">
        <f>IF(ISNUMBER((((NºAsuntos!C9+NºAsuntos!E9)/NºAsuntos!G9)-Datos!BG9)/Datos!BG9),(((NºAsuntos!C9+NºAsuntos!E9)/NºAsuntos!G9)-Datos!BG9)/Datos!BG9," - ")</f>
        <v>5.6641492251290948E-2</v>
      </c>
    </row>
    <row r="10" spans="1:11">
      <c r="A10" s="450" t="str">
        <f>Datos!A10</f>
        <v>Jdos. Violencia contra la mujer</v>
      </c>
      <c r="B10" s="514">
        <f>IF(ISNUMBER((Datos!I10-Datos!S10)/Datos!S10),(Datos!I10-Datos!S10)/Datos!S10," - ")</f>
        <v>0</v>
      </c>
      <c r="C10" s="515">
        <f>IF(ISNUMBER((Datos!J10-Datos!T10)/Datos!T10),(Datos!J10-Datos!T10)/Datos!T10," - ")</f>
        <v>-0.59615384615384615</v>
      </c>
      <c r="D10" s="515">
        <f>IF(ISNUMBER((Datos!K10-Datos!U10)/Datos!U10),(Datos!K10-Datos!U10)/Datos!U10," - ")</f>
        <v>-0.48936170212765956</v>
      </c>
      <c r="E10" s="515">
        <f>IF(ISNUMBER((Datos!L10-Datos!V10)/Datos!V10),(Datos!L10-Datos!V10)/Datos!V10," - ")</f>
        <v>-2.5974025974025976E-2</v>
      </c>
      <c r="F10" s="515">
        <f>IF(ISNUMBER((Datos!M10-Datos!W10)/Datos!W10),(Datos!M10-Datos!W10)/Datos!W10," - ")</f>
        <v>-0.73913043478260865</v>
      </c>
      <c r="G10" s="516">
        <f>IF(ISNUMBER((Datos!N10-Datos!X10)/Datos!X10),(Datos!N10-Datos!X10)/Datos!X10," - ")</f>
        <v>-1</v>
      </c>
      <c r="H10" s="514">
        <f>IF(ISNUMBER(((NºAsuntos!G10/NºAsuntos!E10)-Datos!BD10)/Datos!BD10),((NºAsuntos!G10/NºAsuntos!E10)-Datos!BD10)/Datos!BD10," - ")</f>
        <v>0.26443768996960476</v>
      </c>
      <c r="I10" s="515">
        <f>IF(ISNUMBER(((NºAsuntos!I10/NºAsuntos!G10)-Datos!BE10)/Datos!BE10),((NºAsuntos!I10/NºAsuntos!G10)-Datos!BE10)/Datos!BE10," - ")</f>
        <v>0.90746753246753242</v>
      </c>
      <c r="J10" s="521">
        <f>IF(ISNUMBER((('Resol  Asuntos'!D10/NºAsuntos!G10)-Datos!BF10)/Datos!BF10),(('Resol  Asuntos'!D10/NºAsuntos!G10)-Datos!BF10)/Datos!BF10," - ")</f>
        <v>-0.4891304347826087</v>
      </c>
      <c r="K10" s="522">
        <f>IF(ISNUMBER((((NºAsuntos!C10+NºAsuntos!E10)/NºAsuntos!G10)-Datos!BG10)/Datos!BG10),(((NºAsuntos!C10+NºAsuntos!E10)/NºAsuntos!G10)-Datos!BG10)/Datos!BG10," - ")</f>
        <v>0.49134615384615371</v>
      </c>
    </row>
    <row r="11" spans="1:11">
      <c r="A11" s="450" t="str">
        <f>Datos!A11</f>
        <v xml:space="preserve">Jdos. Familia                                   </v>
      </c>
      <c r="B11" s="514">
        <f>IF(ISNUMBER(
   IF(J_V="SI",(Datos!I11-Datos!S11)/Datos!S11,(Datos!I11+Datos!Y11-(Datos!S11+Datos!AG11))/(Datos!S11+Datos!AG11))
     ),IF(J_V="SI",(Datos!I11-Datos!S11)/Datos!S11,(Datos!I11+Datos!Y11-(Datos!S11+Datos!AG11))/(Datos!S11+Datos!AG11))," - ")</f>
        <v>-0.33244503664223851</v>
      </c>
      <c r="C11" s="515">
        <f>IF(ISNUMBER(
   IF(J_V="SI",(Datos!J11-Datos!T11)/Datos!T11,(Datos!J11+Datos!Z11-(Datos!T11+Datos!AH11))/(Datos!T11+Datos!AH11))
     ),IF(J_V="SI",(Datos!J11-Datos!T11)/Datos!T11,(Datos!J11+Datos!Z11-(Datos!T11+Datos!AH11))/(Datos!T11+Datos!AH11))," - ")</f>
        <v>-3.2258064516129031E-2</v>
      </c>
      <c r="D11" s="515">
        <f>IF(ISNUMBER(
   IF(J_V="SI",(Datos!K11-Datos!U11)/Datos!U11,(Datos!K11+Datos!AA11-(Datos!U11+Datos!AI11))/(Datos!U11+Datos!AI11))
     ),IF(J_V="SI",(Datos!K11-Datos!U11)/Datos!U11,(Datos!K11+Datos!AA11-(Datos!U11+Datos!AI11))/(Datos!U11+Datos!AI11))," - ")</f>
        <v>-0.13973799126637554</v>
      </c>
      <c r="E11" s="515">
        <f>IF(ISNUMBER(
   IF(J_V="SI",(Datos!L11-Datos!V11)/Datos!V11,(Datos!L11+Datos!AB11-(Datos!V11+Datos!AJ11))/(Datos!V11+Datos!AJ11))
     ),IF(J_V="SI",(Datos!L11-Datos!V11)/Datos!V11,(Datos!L11+Datos!AB11-(Datos!V11+Datos!AJ11))/(Datos!V11+Datos!AJ11))," - ")</f>
        <v>-0.22278738555442523</v>
      </c>
      <c r="F11" s="515">
        <f>IF(ISNUMBER((Datos!M11-Datos!W11)/Datos!W11),(Datos!M11-Datos!W11)/Datos!W11," - ")</f>
        <v>-0.41588785046728971</v>
      </c>
      <c r="G11" s="516">
        <f>IF(ISNUMBER((Datos!N11-Datos!X11)/Datos!X11),(Datos!N11-Datos!X11)/Datos!X11," - ")</f>
        <v>0.48375451263537905</v>
      </c>
      <c r="H11" s="514">
        <f>IF(ISNUMBER(((NºAsuntos!G11/NºAsuntos!E11)-Datos!BD11)/Datos!BD11),((NºAsuntos!G11/NºAsuntos!E11)-Datos!BD11)/Datos!BD11," - ")</f>
        <v>-0.11106259097525484</v>
      </c>
      <c r="I11" s="515">
        <f>IF(ISNUMBER(((NºAsuntos!I11/NºAsuntos!G11)-Datos!BE11)/Datos!BE11),((NºAsuntos!I11/NºAsuntos!G11)-Datos!BE11)/Datos!BE11," - ")</f>
        <v>-9.6539651228240458E-2</v>
      </c>
      <c r="J11" s="521">
        <f>IF(ISNUMBER((('Resol  Asuntos'!D11/NºAsuntos!G11)-Datos!BF11)/Datos!BF11),(('Resol  Asuntos'!D11/NºAsuntos!G11)-Datos!BF11)/Datos!BF11," - ")</f>
        <v>-0.47543477065733286</v>
      </c>
      <c r="K11" s="522">
        <f>IF(ISNUMBER((((NºAsuntos!C11+NºAsuntos!E11)/NºAsuntos!G11)-Datos!BG11)/Datos!BG11),(((NºAsuntos!C11+NºAsuntos!E11)/NºAsuntos!G11)-Datos!BG11)/Datos!BG11," - ")</f>
        <v>-0.12566973502052317</v>
      </c>
    </row>
    <row r="12" spans="1:11">
      <c r="A12" s="450" t="str">
        <f>Datos!A12</f>
        <v xml:space="preserve">Jdos. 1ª Instª. e Instr.                        </v>
      </c>
      <c r="B12" s="514" t="str">
        <f>IF(ISNUMBER(
   IF(J_V="SI",(Datos!I12-Datos!S12)/Datos!S12,(Datos!I12+Datos!Y12-(Datos!S12+Datos!AG12))/(Datos!S12+Datos!AG12))
     ),IF(J_V="SI",(Datos!I12-Datos!S12)/Datos!S12,(Datos!I12+Datos!Y12-(Datos!S12+Datos!AG12))/(Datos!S12+Datos!AG12))," - ")</f>
        <v xml:space="preserve"> - </v>
      </c>
      <c r="C12" s="515" t="str">
        <f>IF(ISNUMBER(
   IF(J_V="SI",(Datos!J12-Datos!T12)/Datos!T12,(Datos!J12+Datos!Z12-(Datos!T12+Datos!AH12))/(Datos!T12+Datos!AH12))
     ),IF(J_V="SI",(Datos!J12-Datos!T12)/Datos!T12,(Datos!J12+Datos!Z12-(Datos!T12+Datos!AH12))/(Datos!T12+Datos!AH12))," - ")</f>
        <v xml:space="preserve"> - </v>
      </c>
      <c r="D12" s="515" t="str">
        <f>IF(ISNUMBER(
   IF(J_V="SI",(Datos!K12-Datos!U12)/Datos!U12,(Datos!K12+Datos!AA12-(Datos!U12+Datos!AI12))/(Datos!U12+Datos!AI12))
     ),IF(J_V="SI",(Datos!K12-Datos!U12)/Datos!U12,(Datos!K12+Datos!AA12-(Datos!U12+Datos!AI12))/(Datos!U12+Datos!AI12))," - ")</f>
        <v xml:space="preserve"> - </v>
      </c>
      <c r="E12" s="515" t="str">
        <f>IF(ISNUMBER(
   IF(J_V="SI",(Datos!L12-Datos!V12)/Datos!V12,(Datos!L12+Datos!AB12-(Datos!V12+Datos!AJ12))/(Datos!V12+Datos!AJ12))
     ),IF(J_V="SI",(Datos!L12-Datos!V12)/Datos!V12,(Datos!L12+Datos!AB12-(Datos!V12+Datos!AJ12))/(Datos!V12+Datos!AJ12))," - ")</f>
        <v xml:space="preserve"> - </v>
      </c>
      <c r="F12" s="515" t="str">
        <f>IF(ISNUMBER((Datos!M12-Datos!W12)/Datos!W12),(Datos!M12-Datos!W12)/Datos!W12," - ")</f>
        <v xml:space="preserve"> - </v>
      </c>
      <c r="G12" s="516" t="str">
        <f>IF(ISNUMBER((Datos!N12-Datos!X12)/Datos!X12),(Datos!N12-Datos!X12)/Datos!X12," - ")</f>
        <v xml:space="preserve"> - </v>
      </c>
      <c r="H12" s="514" t="str">
        <f>IF(ISNUMBER(((NºAsuntos!G12/NºAsuntos!E12)-Datos!BD12)/Datos!BD12),((NºAsuntos!G12/NºAsuntos!E12)-Datos!BD12)/Datos!BD12," - ")</f>
        <v xml:space="preserve"> - </v>
      </c>
      <c r="I12" s="515" t="str">
        <f>IF(ISNUMBER(((NºAsuntos!I12/NºAsuntos!G12)-Datos!BE12)/Datos!BE12),((NºAsuntos!I12/NºAsuntos!G12)-Datos!BE12)/Datos!BE12," - ")</f>
        <v xml:space="preserve"> - </v>
      </c>
      <c r="J12" s="521" t="str">
        <f>IF(ISNUMBER((('Resol  Asuntos'!D12/NºAsuntos!G12)-Datos!BF12)/Datos!BF12),(('Resol  Asuntos'!D12/NºAsuntos!G12)-Datos!BF12)/Datos!BF12," - ")</f>
        <v xml:space="preserve"> - </v>
      </c>
      <c r="K12" s="522" t="str">
        <f>IF(ISNUMBER((((NºAsuntos!C12+NºAsuntos!E12)/NºAsuntos!G12)-Datos!BG12)/Datos!BG12),(((NºAsuntos!C12+NºAsuntos!E12)/NºAsuntos!G12)-Datos!BG12)/Datos!BG12," - ")</f>
        <v xml:space="preserve"> - </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-0.19711129991503823</v>
      </c>
      <c r="C14" s="1152">
        <f>IF(ISNUMBER(
   IF(J_V="SI",(Datos!J14-Datos!T14)/Datos!T14,(Datos!J14+Datos!Z14-(Datos!T14+Datos!AH14))/(Datos!T14+Datos!AH14))
     ),IF(J_V="SI",(Datos!J14-Datos!T14)/Datos!T14,(Datos!J14+Datos!Z14-(Datos!T14+Datos!AH14))/(Datos!T14+Datos!AH14))," - ")</f>
        <v>-0.11506352087114338</v>
      </c>
      <c r="D14" s="1152">
        <f>IF(ISNUMBER(
   IF(J_V="SI",(Datos!K14-Datos!U14)/Datos!U14,(Datos!K14+Datos!AA14-(Datos!U14+Datos!AI14))/(Datos!U14+Datos!AI14))
     ),IF(J_V="SI",(Datos!K14-Datos!U14)/Datos!U14,(Datos!K14+Datos!AA14-(Datos!U14+Datos!AI14))/(Datos!U14+Datos!AI14))," - ")</f>
        <v>-0.17531250000000001</v>
      </c>
      <c r="E14" s="1152">
        <f>IF(ISNUMBER(
   IF(J_V="SI",(Datos!L14-Datos!V14)/Datos!V14,(Datos!L14+Datos!AB14-(Datos!V14+Datos!AJ14))/(Datos!V14+Datos!AJ14))
     ),IF(J_V="SI",(Datos!L14-Datos!V14)/Datos!V14,(Datos!L14+Datos!AB14-(Datos!V14+Datos!AJ14))/(Datos!V14+Datos!AJ14))," - ")</f>
        <v>-0.1164972634870993</v>
      </c>
      <c r="F14" s="1153">
        <f>IF(ISNUMBER((Datos!M14-Datos!W14)/Datos!W14),(Datos!M14-Datos!W14)/Datos!W14," - ")</f>
        <v>-0.12945368171021376</v>
      </c>
      <c r="G14" s="1154">
        <f>IF(ISNUMBER((Datos!N14-Datos!X14)/Datos!X14),(Datos!N14-Datos!X14)/Datos!X14," - ")</f>
        <v>-2.1487603305785124E-2</v>
      </c>
      <c r="H14" s="1154">
        <f>IF(ISNUMBER(((NºAsuntos!G14/NºAsuntos!E14)-Datos!BD14)/Datos!BD14),((NºAsuntos!G14/NºAsuntos!E14)-Datos!BD14)/Datos!BD14," - ")</f>
        <v>-6.8082829163248607E-2</v>
      </c>
      <c r="I14" s="1154">
        <f>IF(ISNUMBER(((NºAsuntos!I14/NºAsuntos!G14)-Datos!BE14)/Datos!BE14),((NºAsuntos!I14/NºAsuntos!G14)-Datos!BE14)/Datos!BE14," - ")</f>
        <v>7.1318210246791289E-2</v>
      </c>
      <c r="J14" s="1154">
        <f>IF(ISNUMBER((('Resol  Asuntos'!D14/NºAsuntos!G14)-Datos!BF14)/Datos!BF14),(('Resol  Asuntos'!D14/NºAsuntos!G14)-Datos!BF14)/Datos!BF14," - ")</f>
        <v>-0.26725348449770658</v>
      </c>
      <c r="K14" s="1154">
        <f>IF(ISNUMBER((((NºAsuntos!C14+NºAsuntos!E14)/NºAsuntos!G14)-Datos!BG14)/Datos!BG14),(((NºAsuntos!C14+NºAsuntos!E14)/NºAsuntos!G14)-Datos!BG14)/Datos!BG14," - ")</f>
        <v>1.0294210310844145E-2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f>IF(ISNUMBER(
   IF(D_I="SI",(Datos!I16-Datos!S16)/Datos!S16,(Datos!I16+Datos!AC16-(Datos!S16+Datos!AK16))/(Datos!S16+Datos!AK16))
     ),IF(D_I="SI",(Datos!I16-Datos!S16)/Datos!S16,(Datos!I16+Datos!AC16-(Datos!S16+Datos!AK16))/(Datos!S16+Datos!AK16))," - ")</f>
        <v>-0.32207792207792207</v>
      </c>
      <c r="C16" s="515">
        <f>IF(ISNUMBER(
   IF(D_I="SI",(Datos!J16-Datos!T16)/Datos!T16,(Datos!J16+Datos!AD16-(Datos!T16+Datos!AL16))/(Datos!T16+Datos!AL16))
     ),IF(D_I="SI",(Datos!J16-Datos!T16)/Datos!T16,(Datos!J16+Datos!AD16-(Datos!T16+Datos!AL16))/(Datos!T16+Datos!AL16))," - ")</f>
        <v>2.6831036983321246E-2</v>
      </c>
      <c r="D16" s="515">
        <f>IF(ISNUMBER(
   IF(D_I="SI",(Datos!K16-Datos!U16)/Datos!U16,(Datos!K16+Datos!AE16-(Datos!U16+Datos!AM16))/(Datos!U16+Datos!AM16))
     ),IF(D_I="SI",(Datos!K16-Datos!U16)/Datos!U16,(Datos!K16+Datos!AE16-(Datos!U16+Datos!AM16))/(Datos!U16+Datos!AM16))," - ")</f>
        <v>1.1126564673157162E-2</v>
      </c>
      <c r="E16" s="515">
        <f>IF(ISNUMBER(
   IF(D_I="SI",(Datos!L16-Datos!V16)/Datos!V16,(Datos!L16+Datos!AF16-(Datos!V16+Datos!AN16))/(Datos!V16+Datos!AN16))
     ),IF(D_I="SI",(Datos!L16-Datos!V16)/Datos!V16,(Datos!L16+Datos!AF16-(Datos!V16+Datos!AN16))/(Datos!V16+Datos!AN16))," - ")</f>
        <v>-0.22172949002217296</v>
      </c>
      <c r="F16" s="515">
        <f>IF(ISNUMBER((Datos!M16-Datos!W16)/Datos!W16),(Datos!M16-Datos!W16)/Datos!W16," - ")</f>
        <v>-0.12422360248447205</v>
      </c>
      <c r="G16" s="516">
        <f>IF(ISNUMBER((Datos!N16-Datos!X16)/Datos!X16),(Datos!N16-Datos!X16)/Datos!X16," - ")</f>
        <v>4.6875E-2</v>
      </c>
      <c r="H16" s="514">
        <f>IF(ISNUMBER(((NºAsuntos!G16/NºAsuntos!E16)-Datos!BD16)/Datos!BD16),((NºAsuntos!G16/NºAsuntos!E16)-Datos!BD16)/Datos!BD16," - ")</f>
        <v>-1.5294115335957804E-2</v>
      </c>
      <c r="I16" s="515">
        <f>IF(ISNUMBER(((NºAsuntos!I16/NºAsuntos!G16)-Datos!BE16)/Datos!BE16),((NºAsuntos!I16/NºAsuntos!G16)-Datos!BE16)/Datos!BE16," - ")</f>
        <v>-0.2302936772021216</v>
      </c>
      <c r="J16" s="521">
        <f>IF(ISNUMBER((('Resol  Asuntos'!D16/NºAsuntos!G16)-Datos!BF16)/Datos!BF16),(('Resol  Asuntos'!D16/NºAsuntos!G16)-Datos!BF16)/Datos!BF16," - ")</f>
        <v>-0.13386075679000742</v>
      </c>
      <c r="K16" s="522">
        <f>IF(ISNUMBER((((NºAsuntos!C16+NºAsuntos!E16)/NºAsuntos!G16)-Datos!BG16)/Datos!BG16),(((NºAsuntos!C16+NºAsuntos!E16)/NºAsuntos!G16)-Datos!BG16)/Datos!BG16," - ")</f>
        <v>-0.16651940777894486</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v>
      </c>
      <c r="C17" s="515" t="str">
        <f>IF(ISNUMBER(
   IF(D_I="SI",(Datos!J17-Datos!T17)/Datos!T17,(Datos!J17+Datos!AD17-(Datos!T17+Datos!AL17))/(Datos!T17+Datos!AL17))
     ),IF(D_I="SI",(Datos!J17-Datos!T17)/Datos!T17,(Datos!J17+Datos!AD17-(Datos!T17+Datos!AL17))/(Datos!T17+Datos!AL17))," - ")</f>
        <v xml:space="preserve"> - </v>
      </c>
      <c r="D17" s="515" t="str">
        <f>IF(ISNUMBER(
   IF(D_I="SI",(Datos!K17-Datos!U17)/Datos!U17,(Datos!K17+Datos!AE17-(Datos!U17+Datos!AM17))/(Datos!U17+Datos!AM17))
     ),IF(D_I="SI",(Datos!K17-Datos!U17)/Datos!U17,(Datos!K17+Datos!AE17-(Datos!U17+Datos!AM17))/(Datos!U17+Datos!AM17))," - ")</f>
        <v xml:space="preserve"> - </v>
      </c>
      <c r="E17" s="515">
        <f>IF(ISNUMBER(
   IF(D_I="SI",(Datos!L17-Datos!V17)/Datos!V17,(Datos!L17+Datos!AF17-(Datos!V17+Datos!AN17))/(Datos!V17+Datos!AN17))
     ),IF(D_I="SI",(Datos!L17-Datos!V17)/Datos!V17,(Datos!L17+Datos!AF17-(Datos!V17+Datos!AN17))/(Datos!V17+Datos!AN17))," - ")</f>
        <v>0</v>
      </c>
      <c r="F17" s="515" t="str">
        <f>IF(ISNUMBER((Datos!M17-Datos!W17)/Datos!W17),(Datos!M17-Datos!W17)/Datos!W17," - ")</f>
        <v xml:space="preserve"> - </v>
      </c>
      <c r="G17" s="516" t="str">
        <f>IF(ISNUMBER((Datos!N17-Datos!X17)/Datos!X17),(Datos!N17-Datos!X17)/Datos!X17," - ")</f>
        <v xml:space="preserve"> - </v>
      </c>
      <c r="H17" s="514" t="str">
        <f>IF(ISNUMBER(((NºAsuntos!G17/NºAsuntos!E17)-Datos!BD17)/Datos!BD17),((NºAsuntos!G17/NºAsuntos!E17)-Datos!BD17)/Datos!BD17," - ")</f>
        <v xml:space="preserve"> - </v>
      </c>
      <c r="I17" s="515" t="str">
        <f>IF(ISNUMBER(((NºAsuntos!I17/NºAsuntos!G17)-Datos!BE17)/Datos!BE17),((NºAsuntos!I17/NºAsuntos!G17)-Datos!BE17)/Datos!BE17," - ")</f>
        <v xml:space="preserve"> - </v>
      </c>
      <c r="J17" s="521" t="str">
        <f>IF(ISNUMBER((('Resol  Asuntos'!D17/NºAsuntos!G17)-Datos!BF17)/Datos!BF17),(('Resol  Asuntos'!D17/NºAsuntos!G17)-Datos!BF17)/Datos!BF17," - ")</f>
        <v xml:space="preserve"> - </v>
      </c>
      <c r="K17" s="522" t="str">
        <f>IF(ISNUMBER((((NºAsuntos!C17+NºAsuntos!E17)/NºAsuntos!G17)-Datos!BG17)/Datos!BG17),(((NºAsuntos!C17+NºAsuntos!E17)/NºAsuntos!G17)-Datos!BG17)/Datos!BG17," - ")</f>
        <v xml:space="preserve"> - </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0.31788079470198677</v>
      </c>
      <c r="C18" s="515">
        <f>IF(ISNUMBER(
   IF(D_I="SI",(Datos!J18-Datos!T18)/Datos!T18,(Datos!J18+Datos!AD18-(Datos!T18+Datos!AL18))/(Datos!T18+Datos!AL18))
     ),IF(D_I="SI",(Datos!J18-Datos!T18)/Datos!T18,(Datos!J18+Datos!AD18-(Datos!T18+Datos!AL18))/(Datos!T18+Datos!AL18))," - ")</f>
        <v>0.72941176470588232</v>
      </c>
      <c r="D18" s="515">
        <f>IF(ISNUMBER(
   IF(D_I="SI",(Datos!K18-Datos!U18)/Datos!U18,(Datos!K18+Datos!AE18-(Datos!U18+Datos!AM18))/(Datos!U18+Datos!AM18))
     ),IF(D_I="SI",(Datos!K18-Datos!U18)/Datos!U18,(Datos!K18+Datos!AE18-(Datos!U18+Datos!AM18))/(Datos!U18+Datos!AM18))," - ")</f>
        <v>0.28504672897196259</v>
      </c>
      <c r="E18" s="515">
        <f>IF(ISNUMBER(
   IF(D_I="SI",(Datos!L18-Datos!V18)/Datos!V18,(Datos!L18+Datos!AF18-(Datos!V18+Datos!AN18))/(Datos!V18+Datos!AN18))
     ),IF(D_I="SI",(Datos!L18-Datos!V18)/Datos!V18,(Datos!L18+Datos!AF18-(Datos!V18+Datos!AN18))/(Datos!V18+Datos!AN18))," - ")</f>
        <v>1.0373831775700935</v>
      </c>
      <c r="F18" s="515">
        <f>IF(ISNUMBER((Datos!M18-Datos!W18)/Datos!W18),(Datos!M18-Datos!W18)/Datos!W18," - ")</f>
        <v>2.65</v>
      </c>
      <c r="G18" s="516">
        <f>IF(ISNUMBER((Datos!N18-Datos!X18)/Datos!X18),(Datos!N18-Datos!X18)/Datos!X18," - ")</f>
        <v>0.24324324324324326</v>
      </c>
      <c r="H18" s="514">
        <f>IF(ISNUMBER(((NºAsuntos!G18/NºAsuntos!E18)-Datos!BD18)/Datos!BD18),((NºAsuntos!G18/NºAsuntos!E18)-Datos!BD18)/Datos!BD18," - ")</f>
        <v>-0.25694576896179028</v>
      </c>
      <c r="I18" s="515">
        <f>IF(ISNUMBER(((NºAsuntos!I18/NºAsuntos!G18)-Datos!BE18)/Datos!BE18),((NºAsuntos!I18/NºAsuntos!G18)-Datos!BE18)/Datos!BE18," - ")</f>
        <v>0.58545454545454545</v>
      </c>
      <c r="J18" s="521">
        <f>IF(ISNUMBER((('Resol  Asuntos'!D18/NºAsuntos!G18)-Datos!BF18)/Datos!BF18),(('Resol  Asuntos'!D18/NºAsuntos!G18)-Datos!BF18)/Datos!BF18," - ")</f>
        <v>1.8403636363636362</v>
      </c>
      <c r="K18" s="522">
        <f>IF(ISNUMBER((((NºAsuntos!C18+NºAsuntos!E18)/NºAsuntos!G18)-Datos!BG18)/Datos!BG18),(((NºAsuntos!C18+NºAsuntos!E18)/NºAsuntos!G18)-Datos!BG18)/Datos!BG18," - ")</f>
        <v>0.19515151515151516</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-0.26477541371158392</v>
      </c>
      <c r="C23" s="1152">
        <f>IF(ISNUMBER(
   IF(Criterios!B14="SI",(Datos!J23-Datos!T23)/Datos!T23,(Datos!J23+Datos!AD23-(Datos!T23+Datos!AL23))/(Datos!T23+Datos!AL23))
     ),IF(Criterios!B14="SI",(Datos!J23-Datos!T23)/Datos!T23,(Datos!J23+Datos!AD23-(Datos!T23+Datos!AL23))/(Datos!T23+Datos!AL23))," - ")</f>
        <v>0.10393802453195609</v>
      </c>
      <c r="D23" s="1152">
        <f>IF(ISNUMBER(
   IF(Criterios!B14="SI",(Datos!K23-Datos!U23)/Datos!U23,(Datos!K23+Datos!AE23-(Datos!U23+Datos!AM23))/(Datos!U23+Datos!AM23))
     ),IF(Criterios!B14="SI",(Datos!K23-Datos!U23)/Datos!U23,(Datos!K23+Datos!AE23-(Datos!U23+Datos!AM23))/(Datos!U23+Datos!AM23))," - ")</f>
        <v>4.6610169491525424E-2</v>
      </c>
      <c r="E23" s="1152">
        <f>IF(ISNUMBER(
   IF(Criterios!B14="SI",(Datos!L23-Datos!V23)/Datos!V23,(Datos!L23+Datos!AF23-(Datos!V23+Datos!AN23))/(Datos!V23+Datos!AN23))
     ),IF(Criterios!B14="SI",(Datos!L23-Datos!V23)/Datos!V23,(Datos!L23+Datos!AF23-(Datos!V23+Datos!AN23))/(Datos!V23+Datos!AN23))," - ")</f>
        <v>-0.12936344969199179</v>
      </c>
      <c r="F23" s="1153">
        <f>IF(ISNUMBER((Datos!M23-Datos!W23)/Datos!W23),(Datos!M23-Datos!W23)/Datos!W23," - ")</f>
        <v>3.8011695906432746E-2</v>
      </c>
      <c r="G23" s="1154">
        <f>IF(ISNUMBER((Datos!N23-Datos!X23)/Datos!X23),(Datos!N23-Datos!X23)/Datos!X23," - ")</f>
        <v>7.3619631901840496E-2</v>
      </c>
      <c r="H23" s="1154">
        <f>IF(ISNUMBER(((NºAsuntos!G23/NºAsuntos!E23)-Datos!BD23)/Datos!BD23),((NºAsuntos!G23/NºAsuntos!E23)-Datos!BD23)/Datos!BD23," - ")</f>
        <v>-5.1930320150659258E-2</v>
      </c>
      <c r="I23" s="1154">
        <f>IF(ISNUMBER(((NºAsuntos!I23/NºAsuntos!G23)-Datos!BE23)/Datos!BE23),((NºAsuntos!I23/NºAsuntos!G23)-Datos!BE23)/Datos!BE23," - ")</f>
        <v>-0.16813673735753054</v>
      </c>
      <c r="J23" s="1154">
        <f>IF(ISNUMBER((('Resol  Asuntos'!D23/NºAsuntos!G23)-Datos!BF23)/Datos!BF23),(('Resol  Asuntos'!D23/NºAsuntos!G23)-Datos!BF23)/Datos!BF23," - ")</f>
        <v>-8.2155456116675182E-3</v>
      </c>
      <c r="K23" s="1154">
        <f>IF(ISNUMBER((((NºAsuntos!C23+NºAsuntos!E23)/NºAsuntos!G23)-Datos!BG23)/Datos!BG23),(((NºAsuntos!C23+NºAsuntos!E23)/NºAsuntos!G23)-Datos!BG23)/Datos!BG23," - ")</f>
        <v>-0.12914367660303783</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-0.215</v>
      </c>
      <c r="C31" s="1092">
        <f>IF(ISNUMBER(
   IF(J_V="SI",(Datos!J31-Datos!T31)/Datos!T31,(Datos!J31+Datos!Z31-(Datos!T31+Datos!AH31))/(Datos!T31+Datos!AH31))
     ),IF(J_V="SI",(Datos!J31-Datos!T31)/Datos!T31,(Datos!J31+Datos!Z31-(Datos!T31+Datos!AH31))/(Datos!T31+Datos!AH31))," - ")</f>
        <v>-3.62453531598513E-2</v>
      </c>
      <c r="D31" s="1092">
        <f>IF(ISNUMBER(
   IF(J_V="SI",(Datos!K31-Datos!U31)/Datos!U31,(Datos!K31+Datos!AA31-(Datos!U31+Datos!AI31))/(Datos!U31+Datos!AI31))
     ),IF(J_V="SI",(Datos!K31-Datos!U31)/Datos!U31,(Datos!K31+Datos!AA31-(Datos!U31+Datos!AI31))/(Datos!U31+Datos!AI31))," - ")</f>
        <v>-9.9752679307502062E-2</v>
      </c>
      <c r="E31" s="1092">
        <f>IF(ISNUMBER(
   IF(J_V="SI",(Datos!L31-Datos!V31)/Datos!V31,(Datos!L31+Datos!AB31-(Datos!V31+Datos!AJ31))/(Datos!V31+Datos!AJ31))
     ),IF(J_V="SI",(Datos!L31-Datos!V31)/Datos!V31,(Datos!L31+Datos!AB31-(Datos!V31+Datos!AJ31))/(Datos!V31+Datos!AJ31))," - ")</f>
        <v>-0.12004530011325028</v>
      </c>
      <c r="F31" s="1093">
        <f>IF(ISNUMBER((Datos!M31-Datos!W31)/Datos!W31),(Datos!M31-Datos!W31)/Datos!W31," - ")</f>
        <v>-8.1081081081081086E-2</v>
      </c>
      <c r="G31" s="1094">
        <f>IF(ISNUMBER((Datos!N31-Datos!X31)/Datos!X31),(Datos!N31-Datos!X31)/Datos!X31," - ")</f>
        <v>1.6790123456790124E-2</v>
      </c>
      <c r="H31" s="1095">
        <f>IF(ISNUMBER((Tasas!B31-Datos!BD31)/Datos!BD31),(Tasas!B31-Datos!BD31)/Datos!BD31," - ")</f>
        <v>-6.5895740535074424E-2</v>
      </c>
      <c r="I31" s="1096">
        <f>IF(ISNUMBER((Tasas!C31-Datos!BE31)/Datos!BE31),(Tasas!C31-Datos!BE31)/Datos!BE31," - ")</f>
        <v>-2.2541162122136145E-2</v>
      </c>
      <c r="J31" s="1097">
        <f>IF(ISNUMBER((Tasas!D31-Datos!BF31)/Datos!BF31),(Tasas!D31-Datos!BF31)/Datos!BF31," - ")</f>
        <v>-0.22279306973840729</v>
      </c>
      <c r="K31" s="1097">
        <f>IF(ISNUMBER((Tasas!E31-Datos!BG31)/Datos!BG31),(Tasas!E31-Datos!BG31)/Datos!BG31," - ")</f>
        <v>-4.8177190273602864E-2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HQD3n5NwY8irLsC6WKN9dKzMvRJJEr6ae5UH5GGhfxx8FSobhTxDbAoQzGoHWf4/nKKxZUTEMuo8H2nfG8ECng==" saltValue="RajFg4vBT79NTSuINP51QQ=="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GALICIA</v>
      </c>
    </row>
    <row r="3" spans="1:7" ht="19.5">
      <c r="A3" s="491" t="s">
        <v>17</v>
      </c>
      <c r="B3" s="439" t="str">
        <f>Criterios!A10 &amp;"  "&amp;Criterios!B10</f>
        <v>Provincias  OURENSE</v>
      </c>
    </row>
    <row r="4" spans="1:7" ht="11.25" customHeight="1" thickBot="1">
      <c r="B4" s="439" t="str">
        <f>Criterios!A11 &amp;"  "&amp;Criterios!B11</f>
        <v>Resumenes por Partidos Judiciales  OURENSE</v>
      </c>
    </row>
    <row r="5" spans="1:7" ht="12.75" customHeight="1">
      <c r="A5" s="1591" t="str">
        <f>"Año:  " &amp;Criterios!B5 &amp; "    Trimestre   " &amp;Criterios!D5 &amp; " al " &amp;Criterios!D6</f>
        <v>Año:  2022    Trimestre   2 al 2</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f>IF(ISNUMBER(NºAsuntos!G9/NºAsuntos!E9),NºAsuntos!G9/NºAsuntos!E9," - ")</f>
        <v>1.0958310774228479</v>
      </c>
      <c r="C9" s="498">
        <f>IF(ISNUMBER(NºAsuntos!I9/NºAsuntos!G9),NºAsuntos!I9/NºAsuntos!G9," - ")</f>
        <v>1.2603754940711462</v>
      </c>
      <c r="D9" s="499">
        <f>IF(ISNUMBER('Resol  Asuntos'!D9/NºAsuntos!G9),'Resol  Asuntos'!D9/NºAsuntos!G9," - ")</f>
        <v>0.2974308300395257</v>
      </c>
      <c r="E9" s="500">
        <f>IF(ISNUMBER((NºAsuntos!C9+NºAsuntos!E9)/NºAsuntos!G9),(NºAsuntos!C9+NºAsuntos!E9)/NºAsuntos!G9," - ")</f>
        <v>2.2465415019762847</v>
      </c>
      <c r="G9" s="523"/>
    </row>
    <row r="10" spans="1:7">
      <c r="A10" s="450" t="str">
        <f>Datos!A10</f>
        <v>Jdos. Violencia contra la mujer</v>
      </c>
      <c r="B10" s="497">
        <f>IF(ISNUMBER(NºAsuntos!G10/NºAsuntos!E10),NºAsuntos!G10/NºAsuntos!E10," - ")</f>
        <v>1.1428571428571428</v>
      </c>
      <c r="C10" s="498">
        <f>IF(ISNUMBER(NºAsuntos!I10/NºAsuntos!G10),NºAsuntos!I10/NºAsuntos!G10," - ")</f>
        <v>3.125</v>
      </c>
      <c r="D10" s="499">
        <f>IF(ISNUMBER('Resol  Asuntos'!D10/NºAsuntos!G10),'Resol  Asuntos'!D10/NºAsuntos!G10," - ")</f>
        <v>0.25</v>
      </c>
      <c r="E10" s="500">
        <f>IF(ISNUMBER((NºAsuntos!C10+NºAsuntos!E10)/NºAsuntos!G10),(NºAsuntos!C10+NºAsuntos!E10)/NºAsuntos!G10," - ")</f>
        <v>4.125</v>
      </c>
      <c r="G10" s="523"/>
    </row>
    <row r="11" spans="1:7">
      <c r="A11" s="450" t="str">
        <f>Datos!A11</f>
        <v xml:space="preserve">Jdos. Familia                                   </v>
      </c>
      <c r="B11" s="497">
        <f>IF(ISNUMBER(NºAsuntos!G11/NºAsuntos!E11),NºAsuntos!G11/NºAsuntos!E11," - ")</f>
        <v>1.0368421052631578</v>
      </c>
      <c r="C11" s="498">
        <f>IF(ISNUMBER(NºAsuntos!I11/NºAsuntos!G11),NºAsuntos!I11/NºAsuntos!G11," - ")</f>
        <v>1.2927241962774958</v>
      </c>
      <c r="D11" s="499">
        <f>IF(ISNUMBER('Resol  Asuntos'!D11/NºAsuntos!G11),'Resol  Asuntos'!D11/NºAsuntos!G11," - ")</f>
        <v>0.21150592216582065</v>
      </c>
      <c r="E11" s="500">
        <f>IF(ISNUMBER((NºAsuntos!C11+NºAsuntos!E11)/NºAsuntos!G11),(NºAsuntos!C11+NºAsuntos!E11)/NºAsuntos!G11," - ")</f>
        <v>2.6598984771573604</v>
      </c>
      <c r="G11" s="523"/>
    </row>
    <row r="12" spans="1:7">
      <c r="A12" s="450" t="str">
        <f>Datos!A12</f>
        <v xml:space="preserve">Jdos. 1ª Instª. e Instr.                        </v>
      </c>
      <c r="B12" s="497" t="str">
        <f>IF(ISNUMBER(NºAsuntos!G12/NºAsuntos!E12),NºAsuntos!G12/NºAsuntos!E12," - ")</f>
        <v xml:space="preserve"> - </v>
      </c>
      <c r="C12" s="498" t="str">
        <f>IF(ISNUMBER(NºAsuntos!I12/NºAsuntos!G12),NºAsuntos!I12/NºAsuntos!G12," - ")</f>
        <v xml:space="preserve"> - </v>
      </c>
      <c r="D12" s="499" t="str">
        <f>IF(ISNUMBER('Resol  Asuntos'!D12/NºAsuntos!G12),'Resol  Asuntos'!D12/NºAsuntos!G12," - ")</f>
        <v xml:space="preserve"> - </v>
      </c>
      <c r="E12" s="500" t="str">
        <f>IF(ISNUMBER((NºAsuntos!C12+NºAsuntos!E12)/NºAsuntos!G12),(NºAsuntos!C12+NºAsuntos!E12)/NºAsuntos!G12," - ")</f>
        <v xml:space="preserve"> - </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1.0824446267432322</v>
      </c>
      <c r="C14" s="1156">
        <f>IF(ISNUMBER(NºAsuntos!I14/NºAsuntos!G14),NºAsuntos!I14/NºAsuntos!G14," - ")</f>
        <v>1.2845774914740431</v>
      </c>
      <c r="D14" s="1157">
        <f>IF(ISNUMBER('Resol  Asuntos'!D14/NºAsuntos!G14),'Resol  Asuntos'!D14/NºAsuntos!G14," - ")</f>
        <v>0.27775672603258811</v>
      </c>
      <c r="E14" s="1158">
        <f>IF(ISNUMBER((NºAsuntos!C14+NºAsuntos!E14)/NºAsuntos!G14),(NºAsuntos!C14+NºAsuntos!E14)/NºAsuntos!G14," - ")</f>
        <v>2.3561955286093217</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f>IF(ISNUMBER(NºAsuntos!G16/NºAsuntos!E16),NºAsuntos!G16/NºAsuntos!E16," - ")</f>
        <v>1.0268361581920904</v>
      </c>
      <c r="C16" s="498">
        <f>IF(ISNUMBER(NºAsuntos!I16/NºAsuntos!G16),NºAsuntos!I16/NºAsuntos!G16," - ")</f>
        <v>0.72420907840440163</v>
      </c>
      <c r="D16" s="499">
        <f>IF(ISNUMBER('Resol  Asuntos'!D16/NºAsuntos!G16),'Resol  Asuntos'!D16/NºAsuntos!G16," - ")</f>
        <v>0.19394773039889959</v>
      </c>
      <c r="E16" s="500">
        <f>IF(ISNUMBER((NºAsuntos!C16+NºAsuntos!E16)/NºAsuntos!G16),(NºAsuntos!C16+NºAsuntos!E16)/NºAsuntos!G16," - ")</f>
        <v>1.6918844566712516</v>
      </c>
      <c r="G16" s="523"/>
    </row>
    <row r="17" spans="1:7">
      <c r="A17" s="450" t="str">
        <f>Datos!A17</f>
        <v xml:space="preserve">Jdos. 1ª Instª. e Instr.                        </v>
      </c>
      <c r="B17" s="497" t="str">
        <f>IF(ISNUMBER(NºAsuntos!G17/NºAsuntos!E17),NºAsuntos!G17/NºAsuntos!E17," - ")</f>
        <v xml:space="preserve"> - </v>
      </c>
      <c r="C17" s="498" t="str">
        <f>IF(ISNUMBER(NºAsuntos!I17/NºAsuntos!G17),NºAsuntos!I17/NºAsuntos!G17," - ")</f>
        <v xml:space="preserve"> - </v>
      </c>
      <c r="D17" s="499" t="str">
        <f>IF(ISNUMBER('Resol  Asuntos'!D17/NºAsuntos!G17),'Resol  Asuntos'!D17/NºAsuntos!G17," - ")</f>
        <v xml:space="preserve"> - </v>
      </c>
      <c r="E17" s="500" t="str">
        <f>IF(ISNUMBER((NºAsuntos!C17+NºAsuntos!E17)/NºAsuntos!G17),(NºAsuntos!C17+NºAsuntos!E17)/NºAsuntos!G17," - ")</f>
        <v xml:space="preserve"> - </v>
      </c>
      <c r="G17" s="523"/>
    </row>
    <row r="18" spans="1:7">
      <c r="A18" s="450" t="str">
        <f>Datos!A18</f>
        <v>Jdos. Violencia contra la mujer</v>
      </c>
      <c r="B18" s="497">
        <f>IF(ISNUMBER(NºAsuntos!G18/NºAsuntos!E18),NºAsuntos!G18/NºAsuntos!E18," - ")</f>
        <v>0.93537414965986398</v>
      </c>
      <c r="C18" s="498">
        <f>IF(ISNUMBER(NºAsuntos!I18/NºAsuntos!G18),NºAsuntos!I18/NºAsuntos!G18," - ")</f>
        <v>0.79272727272727272</v>
      </c>
      <c r="D18" s="499">
        <f>IF(ISNUMBER('Resol  Asuntos'!D18/NºAsuntos!G18),'Resol  Asuntos'!D18/NºAsuntos!G18," - ")</f>
        <v>0.26545454545454544</v>
      </c>
      <c r="E18" s="500">
        <f>IF(ISNUMBER((NºAsuntos!C18+NºAsuntos!E18)/NºAsuntos!G18),(NºAsuntos!C18+NºAsuntos!E18)/NºAsuntos!G18," - ")</f>
        <v>1.7927272727272727</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1.0111111111111111</v>
      </c>
      <c r="C23" s="1156">
        <f>IF(ISNUMBER(NºAsuntos!I23/NºAsuntos!G23),NºAsuntos!I23/NºAsuntos!G23," - ")</f>
        <v>0.73568536726431466</v>
      </c>
      <c r="D23" s="1159">
        <f>IF(ISNUMBER('Resol  Asuntos'!D23/NºAsuntos!G23),'Resol  Asuntos'!D23/NºAsuntos!G23," - ")</f>
        <v>0.205320994794679</v>
      </c>
      <c r="E23" s="1158">
        <f>IF(ISNUMBER((NºAsuntos!C23+NºAsuntos!E23)/NºAsuntos!G23),(NºAsuntos!C23+NºAsuntos!E23)/NºAsuntos!G23," - ")</f>
        <v>1.7085020242914979</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1.0530376084860174</v>
      </c>
      <c r="C31" s="1099">
        <f>IF(ISNUMBER(NºAsuntos!I31/NºAsuntos!G31),NºAsuntos!I31/NºAsuntos!G31," - ")</f>
        <v>1.0673076923076923</v>
      </c>
      <c r="D31" s="1100">
        <f>IF(ISNUMBER('Resol  Asuntos'!D31/NºAsuntos!G31),'Resol  Asuntos'!D31/NºAsuntos!G31," - ")</f>
        <v>0.24908424908424909</v>
      </c>
      <c r="E31" s="1101">
        <f>IF(ISNUMBER((NºAsuntos!C31+NºAsuntos!E31)/NºAsuntos!G31),(NºAsuntos!C31+NºAsuntos!E31)/NºAsuntos!G31," - ")</f>
        <v>2.0998168498168499</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D/0TDjj5XUhpsdPQHrg8UoE+PAy/eM1O/YXCHNOY666wRnva5ATkjg2tCd+ikb8GBNxTkS2+aoddN6DXDvrWBA==" saltValue="zek0Fqsr/IYznbC3uiny5g=="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GALICIA</v>
      </c>
      <c r="G2" s="369"/>
      <c r="H2" s="368"/>
      <c r="I2" s="368"/>
      <c r="J2" s="368"/>
      <c r="K2" s="368"/>
      <c r="L2" s="368" t="str">
        <f>Criterios!A10 &amp;"  "&amp;Criterios!B10</f>
        <v>Provincias  OURENSE</v>
      </c>
      <c r="N2" s="368" t="str">
        <f>Criterios!A11 &amp;"  "&amp;Criterios!B11</f>
        <v>Resumenes por Partidos Judiciales  OURENSE</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2 al 2</v>
      </c>
      <c r="D5" s="1628" t="s">
        <v>491</v>
      </c>
      <c r="E5" s="1628" t="s">
        <v>414</v>
      </c>
      <c r="F5" s="1651" t="s">
        <v>527</v>
      </c>
      <c r="G5" s="1654" t="s">
        <v>173</v>
      </c>
      <c r="H5" s="1634" t="s">
        <v>221</v>
      </c>
      <c r="I5" s="1634" t="s">
        <v>225</v>
      </c>
      <c r="J5" s="1634" t="s">
        <v>226</v>
      </c>
      <c r="K5" s="1634" t="s">
        <v>528</v>
      </c>
      <c r="L5" s="1634" t="s">
        <v>777</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1112</v>
      </c>
      <c r="AX5" s="1628" t="s">
        <v>419</v>
      </c>
      <c r="AY5" s="1628" t="s">
        <v>1000</v>
      </c>
      <c r="AZ5" s="1628" t="s">
        <v>1001</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6</v>
      </c>
      <c r="B9" s="190" t="s">
        <v>321</v>
      </c>
      <c r="C9" s="173" t="str">
        <f>Datos!A9</f>
        <v xml:space="preserve">Jdos. 1ª Instancia   </v>
      </c>
      <c r="D9" s="173"/>
      <c r="E9" s="1402">
        <f>IF(ISNUMBER(Datos!AQ9),Datos!AQ9," - ")</f>
        <v>6</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453</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f>IF(ISNUMBER(Datos!Q9),Datos!Q9," - ")</f>
        <v>459</v>
      </c>
      <c r="Y9" s="374">
        <f>SUM(W9:X9)</f>
        <v>459</v>
      </c>
      <c r="Z9" s="375" t="str">
        <f>IF(ISNUMBER(Datos!CC9),Datos!CC9," - ")</f>
        <v xml:space="preserve"> - </v>
      </c>
      <c r="AA9" s="372" t="str">
        <f>IF(ISNUMBER(IF(J_V="SI",Datos!L9,Datos!L9+Datos!AB9)-IF(Monitorios="SI",Datos!CD9,0)),
                          IF(J_V="SI",Datos!L9,Datos!L9+Datos!AB9)-IF(Monitorios="SI",Datos!CD9,0),
                          " - ")</f>
        <v xml:space="preserve"> - </v>
      </c>
      <c r="AB9" s="374">
        <f>IF(ISNUMBER(Datos!R9),Datos!R9," - ")</f>
        <v>6620</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f>IF(ISNUMBER(Datos!M9),Datos!M9," - ")</f>
        <v>602</v>
      </c>
      <c r="AJ9" s="243" t="str">
        <f>IF(ISNUMBER(Datos!BW9),Datos!BW9," - ")</f>
        <v xml:space="preserve"> - </v>
      </c>
      <c r="AK9" s="242" t="str">
        <f>IF(ISNUMBER(Datos!BX9),Datos!BX9," - ")</f>
        <v xml:space="preserve"> - </v>
      </c>
      <c r="AL9" s="266">
        <f>IF(ISNUMBER(NºAsuntos!G9/NºAsuntos!E9),NºAsuntos!G9/NºAsuntos!E9," - ")</f>
        <v>1.0958310774228479</v>
      </c>
      <c r="AM9" s="284">
        <f>IF(ISNUMBER(((NºAsuntos!I9/NºAsuntos!G9)*11)/factor_trimestre),((NºAsuntos!I9/NºAsuntos!G9)*11)/factor_trimestre," - ")</f>
        <v>3.7811264822134389</v>
      </c>
      <c r="AN9" s="267">
        <f>IF(ISNUMBER('Resol  Asuntos'!D9/NºAsuntos!G9),'Resol  Asuntos'!D9/NºAsuntos!G9," - ")</f>
        <v>0.2974308300395257</v>
      </c>
      <c r="AO9" s="268">
        <f>IF(ISNUMBER((NºAsuntos!C9+NºAsuntos!E9)/NºAsuntos!G9),(NºAsuntos!C9+NºAsuntos!E9)/NºAsuntos!G9," - ")</f>
        <v>2.2465415019762847</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78</v>
      </c>
      <c r="G10" s="373">
        <f>IF(ISNUMBER(Datos!I10),Datos!I10," - ")</f>
        <v>78</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8</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24</v>
      </c>
      <c r="X10" s="240">
        <f>IF(ISNUMBER(Datos!Q10),Datos!Q10," - ")</f>
        <v>5</v>
      </c>
      <c r="Y10" s="374">
        <f t="shared" ref="Y10:Y13" si="0">SUM(W10:X10)</f>
        <v>29</v>
      </c>
      <c r="Z10" s="375" t="str">
        <f>IF(ISNUMBER(Datos!CC10),Datos!CC10," - ")</f>
        <v xml:space="preserve"> - </v>
      </c>
      <c r="AA10" s="372">
        <f>IF(ISNUMBER(Datos!L10),Datos!L10,"-")</f>
        <v>75</v>
      </c>
      <c r="AB10" s="374">
        <f>IF(ISNUMBER(Datos!R10),Datos!R10," - ")</f>
        <v>31</v>
      </c>
      <c r="AC10" s="374">
        <f t="shared" ref="AC10:AC13" si="1">IF(ISNUMBER(AA10+AB10),AA10+AB10," - ")</f>
        <v>106</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6</v>
      </c>
      <c r="AJ10" s="245" t="str">
        <f>IF(ISNUMBER(Datos!BW10),Datos!BW10," - ")</f>
        <v xml:space="preserve"> - </v>
      </c>
      <c r="AK10" s="246" t="str">
        <f>IF(ISNUMBER(Datos!BX10),Datos!BX10," - ")</f>
        <v xml:space="preserve"> - </v>
      </c>
      <c r="AL10" s="266">
        <f>IF(ISNUMBER(NºAsuntos!G10/NºAsuntos!E10),NºAsuntos!G10/NºAsuntos!E10," - ")</f>
        <v>1.1428571428571428</v>
      </c>
      <c r="AM10" s="284">
        <f>IF(ISNUMBER(((NºAsuntos!I10/NºAsuntos!G10)*11)/factor_trimestre),((NºAsuntos!I10/NºAsuntos!G10)*11)/factor_trimestre," - ")</f>
        <v>9.375</v>
      </c>
      <c r="AN10" s="267">
        <f>IF(ISNUMBER('Resol  Asuntos'!D10/NºAsuntos!G10),'Resol  Asuntos'!D10/NºAsuntos!G10," - ")</f>
        <v>0.25</v>
      </c>
      <c r="AO10" s="268">
        <f>IF(ISNUMBER((NºAsuntos!C10+NºAsuntos!E10)/NºAsuntos!G10),(NºAsuntos!C10+NºAsuntos!E10)/NºAsuntos!G10," - ")</f>
        <v>4.125</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1</v>
      </c>
      <c r="B11" s="300" t="s">
        <v>321</v>
      </c>
      <c r="C11" s="7" t="str">
        <f>Datos!A11</f>
        <v xml:space="preserve">Jdos. Familia                                   </v>
      </c>
      <c r="D11" s="7"/>
      <c r="E11" s="1402">
        <f>IF(ISNUMBER(Datos!AQ11),Datos!AQ11," - ")</f>
        <v>1</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38</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f>IF(ISNUMBER(Datos!Q11),Datos!Q11," - ")</f>
        <v>19</v>
      </c>
      <c r="Y11" s="374">
        <f t="shared" si="0"/>
        <v>19</v>
      </c>
      <c r="Z11" s="375" t="str">
        <f>IF(ISNUMBER(Datos!CC11),Datos!CC11," - ")</f>
        <v xml:space="preserve"> - </v>
      </c>
      <c r="AA11" s="372" t="str">
        <f>IF(ISNUMBER(IF(J_V="SI",Datos!L11,Datos!L11+Datos!AB11)-IF(Monitorios="SI",Datos!CD11,0)),
                          IF(J_V="SI",Datos!L11,Datos!L11+Datos!AB11)-IF(Monitorios="SI",Datos!CD11,0),
                          " - ")</f>
        <v xml:space="preserve"> - </v>
      </c>
      <c r="AB11" s="374">
        <f>IF(ISNUMBER(Datos!R11),Datos!R11," - ")</f>
        <v>924</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f>IF(ISNUMBER(Datos!M11),Datos!M11," - ")</f>
        <v>125</v>
      </c>
      <c r="AJ11" s="245" t="str">
        <f>IF(ISNUMBER(Datos!BW11),Datos!BW11," - ")</f>
        <v xml:space="preserve"> - </v>
      </c>
      <c r="AK11" s="246" t="str">
        <f>IF(ISNUMBER(Datos!BX11),Datos!BX11," - ")</f>
        <v xml:space="preserve"> - </v>
      </c>
      <c r="AL11" s="266">
        <f>IF(ISNUMBER(NºAsuntos!G11/NºAsuntos!E11),NºAsuntos!G11/NºAsuntos!E11," - ")</f>
        <v>1.0368421052631578</v>
      </c>
      <c r="AM11" s="284">
        <f>IF(ISNUMBER(((NºAsuntos!I11/NºAsuntos!G11)*11)/factor_trimestre),((NºAsuntos!I11/NºAsuntos!G11)*11)/factor_trimestre," - ")</f>
        <v>3.8781725888324878</v>
      </c>
      <c r="AN11" s="267">
        <f>IF(ISNUMBER('Resol  Asuntos'!D11/NºAsuntos!G11),'Resol  Asuntos'!D11/NºAsuntos!G11," - ")</f>
        <v>0.21150592216582065</v>
      </c>
      <c r="AO11" s="268">
        <f>IF(ISNUMBER((NºAsuntos!C11+NºAsuntos!E11)/NºAsuntos!G11),(NºAsuntos!C11+NºAsuntos!E11)/NºAsuntos!G11," - ")</f>
        <v>2.6598984771573604</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0</v>
      </c>
      <c r="B12" s="300" t="s">
        <v>321</v>
      </c>
      <c r="C12" s="7" t="str">
        <f>Datos!A12</f>
        <v xml:space="preserve">Jdos. 1ª Instª. e Instr.                        </v>
      </c>
      <c r="D12" s="7"/>
      <c r="E12" s="1402">
        <f>IF(ISNUMBER(Datos!AQ12),Datos!AQ12," - ")</f>
        <v>0</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0</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t="str">
        <f>IF(ISNUMBER(Datos!Q12),Datos!Q12," - ")</f>
        <v xml:space="preserve"> - </v>
      </c>
      <c r="Y12" s="374">
        <f t="shared" si="0"/>
        <v>0</v>
      </c>
      <c r="Z12" s="375" t="str">
        <f>IF(ISNUMBER(Datos!CC12),Datos!CC12," - ")</f>
        <v xml:space="preserve"> - </v>
      </c>
      <c r="AA12" s="372" t="str">
        <f>IF(ISNUMBER(IF(J_V="SI",Datos!L12,Datos!L12+Datos!AB12)-IF(Monitorios="SI",Datos!CD12,0)),
                          IF(J_V="SI",Datos!L12,Datos!L12+Datos!AB12)-IF(Monitorios="SI",Datos!CD12,0),
                          " - ")</f>
        <v xml:space="preserve"> - </v>
      </c>
      <c r="AB12" s="374" t="str">
        <f>IF(ISNUMBER(Datos!R12),Datos!R12," - ")</f>
        <v xml:space="preserve"> - </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t="str">
        <f>IF(ISNUMBER(Datos!M12),Datos!M12," - ")</f>
        <v xml:space="preserve"> - </v>
      </c>
      <c r="AJ12" s="243" t="str">
        <f>IF(ISNUMBER(Datos!BW12),Datos!BW12," - ")</f>
        <v xml:space="preserve"> - </v>
      </c>
      <c r="AK12" s="242" t="str">
        <f>IF(ISNUMBER(Datos!BX12),Datos!BX12," - ")</f>
        <v xml:space="preserve"> - </v>
      </c>
      <c r="AL12" s="266" t="str">
        <f>IF(ISNUMBER(NºAsuntos!G12/NºAsuntos!E12),NºAsuntos!G12/NºAsuntos!E12," - ")</f>
        <v xml:space="preserve"> - </v>
      </c>
      <c r="AM12" s="284" t="str">
        <f>IF(ISNUMBER(((NºAsuntos!I12/NºAsuntos!G12)*11)/factor_trimestre),((NºAsuntos!I12/NºAsuntos!G12)*11)/factor_trimestre," - ")</f>
        <v xml:space="preserve"> - </v>
      </c>
      <c r="AN12" s="267" t="str">
        <f>IF(ISNUMBER('Resol  Asuntos'!D12/NºAsuntos!G12),'Resol  Asuntos'!D12/NºAsuntos!G12," - ")</f>
        <v xml:space="preserve"> - </v>
      </c>
      <c r="AO12" s="268" t="str">
        <f>IF(ISNUMBER((NºAsuntos!C12+NºAsuntos!E12)/NºAsuntos!G12),(NºAsuntos!C12+NºAsuntos!E12)/NºAsuntos!G12," - ")</f>
        <v xml:space="preserve"> - </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7</v>
      </c>
      <c r="F14" s="1162">
        <f t="shared" si="5"/>
        <v>78</v>
      </c>
      <c r="G14" s="1163">
        <f t="shared" si="5"/>
        <v>78</v>
      </c>
      <c r="H14" s="1162">
        <f t="shared" si="5"/>
        <v>0</v>
      </c>
      <c r="I14" s="1164">
        <f t="shared" si="5"/>
        <v>0</v>
      </c>
      <c r="J14" s="1164">
        <f t="shared" si="5"/>
        <v>0</v>
      </c>
      <c r="K14" s="1164">
        <f t="shared" si="5"/>
        <v>0</v>
      </c>
      <c r="L14" s="1164">
        <f t="shared" si="5"/>
        <v>499</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24</v>
      </c>
      <c r="X14" s="1164">
        <f t="shared" si="6"/>
        <v>483</v>
      </c>
      <c r="Y14" s="1165">
        <f t="shared" si="6"/>
        <v>507</v>
      </c>
      <c r="Z14" s="1165">
        <f t="shared" si="6"/>
        <v>0</v>
      </c>
      <c r="AA14" s="1165">
        <f t="shared" si="6"/>
        <v>75</v>
      </c>
      <c r="AB14" s="1165">
        <f t="shared" si="6"/>
        <v>7575</v>
      </c>
      <c r="AC14" s="1165">
        <f t="shared" si="6"/>
        <v>106</v>
      </c>
      <c r="AD14" s="1165">
        <f t="shared" si="6"/>
        <v>0</v>
      </c>
      <c r="AE14" s="1169">
        <f t="shared" si="6"/>
        <v>0</v>
      </c>
      <c r="AF14" s="1162">
        <f t="shared" si="6"/>
        <v>0</v>
      </c>
      <c r="AG14" s="1170">
        <f t="shared" si="6"/>
        <v>0</v>
      </c>
      <c r="AH14" s="1167">
        <f t="shared" si="6"/>
        <v>0</v>
      </c>
      <c r="AI14" s="1162">
        <f t="shared" si="6"/>
        <v>733</v>
      </c>
      <c r="AJ14" s="1164">
        <f t="shared" si="6"/>
        <v>0</v>
      </c>
      <c r="AK14" s="1167">
        <f>SUBTOTAL(9,AK9:AK13)</f>
        <v>0</v>
      </c>
      <c r="AL14" s="1171">
        <f>IF(ISNUMBER(NºAsuntos!G14/NºAsuntos!E14),NºAsuntos!G14/NºAsuntos!E14," - ")</f>
        <v>1.0824446267432322</v>
      </c>
      <c r="AM14" s="1171">
        <f>IF(ISNUMBER(((NºAsuntos!I14/NºAsuntos!G14)*11)/factor_trimestre),((NºAsuntos!I14/NºAsuntos!G14)*11)/factor_trimestre," - ")</f>
        <v>3.8537324744221295</v>
      </c>
      <c r="AN14" s="1172">
        <f>IF(ISNUMBER('Resol  Asuntos'!D14/NºAsuntos!G14),'Resol  Asuntos'!D14/NºAsuntos!G14," - ")</f>
        <v>0.27775672603258811</v>
      </c>
      <c r="AO14" s="1173">
        <f>IF(ISNUMBER((NºAsuntos!C14+NºAsuntos!E14)/NºAsuntos!G14),(NºAsuntos!C14+NºAsuntos!E14)/NºAsuntos!G14," - ")</f>
        <v>2.3561955286093217</v>
      </c>
      <c r="AP14" s="1174" t="str">
        <f t="shared" si="2"/>
        <v xml:space="preserve"> - </v>
      </c>
      <c r="AQ14" s="1174">
        <f>IF(ISNUMBER((H14-W14+K14)/(F14)),(H14-W14+K14)/(F14)," - ")</f>
        <v>-0.30769230769230771</v>
      </c>
      <c r="AR14" s="1175">
        <f>IF(ISNUMBER((Datos!P14-Datos!Q14)/(Datos!R14-Datos!P14+Datos!Q14)),(Datos!P14-Datos!Q14)/(Datos!R14-Datos!P14+Datos!Q14)," - ")</f>
        <v>2.1166821008069851E-3</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3</v>
      </c>
      <c r="B16" s="300" t="s">
        <v>511</v>
      </c>
      <c r="C16" s="173" t="str">
        <f>Datos!A16</f>
        <v xml:space="preserve">Jdos. Instrucción                               </v>
      </c>
      <c r="D16" s="173"/>
      <c r="E16" s="1402">
        <f>IF(ISNUMBER(Datos!AQ16),Datos!AQ16," - ")</f>
        <v>3</v>
      </c>
      <c r="F16" s="239">
        <f>IF(ISNUMBER(AA16+W16-Datos!J16-K16),AA16+W16-Datos!J16-K16," - ")</f>
        <v>1091</v>
      </c>
      <c r="G16" s="373">
        <f>IF(ISNUMBER(IF(D_I="SI",Datos!I16,Datos!I16+Datos!AC16)),IF(D_I="SI",Datos!I16,Datos!I16+Datos!AC16)," - ")</f>
        <v>1044</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65</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f>IF(ISNUMBER(IF(D_I="SI",Datos!K16,Datos!K16+Datos!AE16)),IF(D_I="SI",Datos!K16,Datos!K16+Datos!AE16)," - ")</f>
        <v>1454</v>
      </c>
      <c r="X16" s="240">
        <f>IF(ISNUMBER(Datos!Q16),Datos!Q16," - ")</f>
        <v>92</v>
      </c>
      <c r="Y16" s="374">
        <f>SUM(W16)</f>
        <v>1454</v>
      </c>
      <c r="Z16" s="375" t="str">
        <f>IF(ISNUMBER(Datos!CC16),Datos!CC16," - ")</f>
        <v xml:space="preserve"> - </v>
      </c>
      <c r="AA16" s="372">
        <f>IF(ISNUMBER(IF(D_I="SI",Datos!L16,Datos!L16+Datos!AF16)),IF(D_I="SI",Datos!L16,Datos!L16+Datos!AF16)," - ")</f>
        <v>1053</v>
      </c>
      <c r="AB16" s="374">
        <f>IF(ISNUMBER(Datos!R16),Datos!R16," - ")</f>
        <v>174</v>
      </c>
      <c r="AC16" s="374">
        <f t="shared" ref="AC16:AC22" si="8">IF(ISNUMBER(AA16+AB16),AA16+AB16," - ")</f>
        <v>1227</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f>IF(ISNUMBER(Datos!M16),Datos!M16," - ")</f>
        <v>282</v>
      </c>
      <c r="AJ16" s="245" t="str">
        <f>IF(ISNUMBER(Datos!BW16),Datos!BW16," - ")</f>
        <v xml:space="preserve"> - </v>
      </c>
      <c r="AK16" s="246" t="str">
        <f>IF(ISNUMBER(Datos!BX16),Datos!BX16," - ")</f>
        <v xml:space="preserve"> - </v>
      </c>
      <c r="AL16" s="266">
        <f>IF(ISNUMBER(NºAsuntos!G16/NºAsuntos!E16),NºAsuntos!G16/NºAsuntos!E16," - ")</f>
        <v>1.0268361581920904</v>
      </c>
      <c r="AM16" s="284">
        <f>IF(ISNUMBER(((NºAsuntos!I16/NºAsuntos!G16)*11)/factor_trimestre),((NºAsuntos!I16/NºAsuntos!G16)*11)/factor_trimestre," - ")</f>
        <v>2.1726272352132048</v>
      </c>
      <c r="AN16" s="267">
        <f>IF(ISNUMBER('Resol  Asuntos'!D16/NºAsuntos!G16),'Resol  Asuntos'!D16/NºAsuntos!G16," - ")</f>
        <v>0.19394773039889959</v>
      </c>
      <c r="AO16" s="268">
        <f>IF(ISNUMBER((NºAsuntos!C16+NºAsuntos!E16)/NºAsuntos!G16),(NºAsuntos!C16+NºAsuntos!E16)/NºAsuntos!G16," - ")</f>
        <v>1.6918844566712516</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0</v>
      </c>
      <c r="B17" s="300" t="s">
        <v>511</v>
      </c>
      <c r="C17" s="173" t="str">
        <f>Datos!A17</f>
        <v xml:space="preserve">Jdos. 1ª Instª. e Instr.                        </v>
      </c>
      <c r="D17" s="173"/>
      <c r="E17" s="1402">
        <f>IF(ISNUMBER(Datos!AQ17),Datos!AQ17," - ")</f>
        <v>0</v>
      </c>
      <c r="F17" s="239">
        <f>IF(ISNUMBER(AA17+W17-Datos!J17-K17),AA17+W17-Datos!J17-K17," - ")</f>
        <v>1</v>
      </c>
      <c r="G17" s="373">
        <f>IF(ISNUMBER(IF(D_I="SI",Datos!I17,Datos!I17+Datos!AC17)),IF(D_I="SI",Datos!I17,Datos!I17+Datos!AC17)," - ")</f>
        <v>1</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0</v>
      </c>
      <c r="X17" s="240">
        <f>IF(ISNUMBER(Datos!Q17),Datos!Q17," - ")</f>
        <v>0</v>
      </c>
      <c r="Y17" s="374">
        <f t="shared" ref="Y17:Y22" si="9">SUM(W17:X17)</f>
        <v>0</v>
      </c>
      <c r="Z17" s="375" t="str">
        <f>IF(ISNUMBER(Datos!CC17),Datos!CC17," - ")</f>
        <v xml:space="preserve"> - </v>
      </c>
      <c r="AA17" s="372">
        <f>IF(ISNUMBER(IF(D_I="SI",Datos!L17,Datos!L17+Datos!AF17)),IF(D_I="SI",Datos!L17,Datos!L17+Datos!AF17)," - ")</f>
        <v>1</v>
      </c>
      <c r="AB17" s="374">
        <f>IF(ISNUMBER(Datos!R17),Datos!R17," - ")</f>
        <v>0</v>
      </c>
      <c r="AC17" s="374">
        <f t="shared" si="8"/>
        <v>1</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0</v>
      </c>
      <c r="AJ17" s="245" t="str">
        <f>IF(ISNUMBER(Datos!BW17),Datos!BW17," - ")</f>
        <v xml:space="preserve"> - </v>
      </c>
      <c r="AK17" s="246" t="str">
        <f>IF(ISNUMBER(Datos!BX17),Datos!BX17," - ")</f>
        <v xml:space="preserve"> - </v>
      </c>
      <c r="AL17" s="266" t="str">
        <f>IF(ISNUMBER(NºAsuntos!G17/NºAsuntos!E17),NºAsuntos!G17/NºAsuntos!E17," - ")</f>
        <v xml:space="preserve"> - </v>
      </c>
      <c r="AM17" s="284" t="str">
        <f>IF(ISNUMBER(((NºAsuntos!I17/NºAsuntos!G17)*11)/factor_trimestre),((NºAsuntos!I17/NºAsuntos!G17)*11)/factor_trimestre," - ")</f>
        <v xml:space="preserve"> - </v>
      </c>
      <c r="AN17" s="267" t="str">
        <f>IF(ISNUMBER('Resol  Asuntos'!D17/NºAsuntos!G17),'Resol  Asuntos'!D17/NºAsuntos!G17," - ")</f>
        <v xml:space="preserve"> - </v>
      </c>
      <c r="AO17" s="268" t="str">
        <f>IF(ISNUMBER((NºAsuntos!C17+NºAsuntos!E17)/NºAsuntos!G17),(NºAsuntos!C17+NºAsuntos!E17)/NºAsuntos!G17," - ")</f>
        <v xml:space="preserve"> - </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199</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8</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275</v>
      </c>
      <c r="X18" s="240">
        <f>IF(ISNUMBER(Datos!Q18),Datos!Q18," - ")</f>
        <v>4</v>
      </c>
      <c r="Y18" s="374">
        <f t="shared" si="9"/>
        <v>279</v>
      </c>
      <c r="Z18" s="375" t="str">
        <f>IF(ISNUMBER(Datos!CC18),Datos!CC18," - ")</f>
        <v xml:space="preserve"> - </v>
      </c>
      <c r="AA18" s="372">
        <f>IF(ISNUMBER(Datos!L18),Datos!L18,"-")</f>
        <v>218</v>
      </c>
      <c r="AB18" s="374">
        <f>IF(ISNUMBER(Datos!R18),Datos!R18," - ")</f>
        <v>10</v>
      </c>
      <c r="AC18" s="374">
        <f t="shared" si="8"/>
        <v>228</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73</v>
      </c>
      <c r="AJ18" s="245" t="str">
        <f>IF(ISNUMBER(Datos!BW18),Datos!BW18," - ")</f>
        <v xml:space="preserve"> - </v>
      </c>
      <c r="AK18" s="246" t="str">
        <f>IF(ISNUMBER(Datos!BX18),Datos!BX18," - ")</f>
        <v xml:space="preserve"> - </v>
      </c>
      <c r="AL18" s="266">
        <f>IF(ISNUMBER(NºAsuntos!G18/NºAsuntos!E18),NºAsuntos!G18/NºAsuntos!E18," - ")</f>
        <v>0.93537414965986398</v>
      </c>
      <c r="AM18" s="284">
        <f>IF(ISNUMBER(((NºAsuntos!I18/NºAsuntos!G18)*11)/factor_trimestre),((NºAsuntos!I18/NºAsuntos!G18)*11)/factor_trimestre," - ")</f>
        <v>2.3781818181818184</v>
      </c>
      <c r="AN18" s="267">
        <f>IF(ISNUMBER('Resol  Asuntos'!D18/NºAsuntos!G18),'Resol  Asuntos'!D18/NºAsuntos!G18," - ")</f>
        <v>0.26545454545454544</v>
      </c>
      <c r="AO18" s="268">
        <f>IF(ISNUMBER((NºAsuntos!C18+NºAsuntos!E18)/NºAsuntos!G18),(NºAsuntos!C18+NºAsuntos!E18)/NºAsuntos!G18," - ")</f>
        <v>1.7927272727272727</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3</v>
      </c>
      <c r="F23" s="1162">
        <f>SUBTOTAL(9,F15:F22)</f>
        <v>1092</v>
      </c>
      <c r="G23" s="1163">
        <f>SUBTOTAL(9,G16:G22)</f>
        <v>1244</v>
      </c>
      <c r="H23" s="1162">
        <f t="shared" ref="H23:O23" si="13">SUBTOTAL(9,H15:H22)</f>
        <v>0</v>
      </c>
      <c r="I23" s="1164">
        <f t="shared" si="13"/>
        <v>0</v>
      </c>
      <c r="J23" s="1164">
        <f t="shared" si="13"/>
        <v>0</v>
      </c>
      <c r="K23" s="1164">
        <f t="shared" si="13"/>
        <v>0</v>
      </c>
      <c r="L23" s="1164">
        <f t="shared" si="13"/>
        <v>73</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1729</v>
      </c>
      <c r="X23" s="1164">
        <f t="shared" si="14"/>
        <v>96</v>
      </c>
      <c r="Y23" s="1165">
        <f t="shared" si="14"/>
        <v>1733</v>
      </c>
      <c r="Z23" s="1165">
        <f t="shared" si="14"/>
        <v>0</v>
      </c>
      <c r="AA23" s="1165">
        <f t="shared" si="14"/>
        <v>1272</v>
      </c>
      <c r="AB23" s="1165">
        <f t="shared" si="14"/>
        <v>184</v>
      </c>
      <c r="AC23" s="1165">
        <f t="shared" si="14"/>
        <v>1456</v>
      </c>
      <c r="AD23" s="1165">
        <f t="shared" si="14"/>
        <v>0</v>
      </c>
      <c r="AE23" s="1169">
        <f t="shared" si="14"/>
        <v>0</v>
      </c>
      <c r="AF23" s="1162">
        <f t="shared" si="14"/>
        <v>0</v>
      </c>
      <c r="AG23" s="1170">
        <f t="shared" si="14"/>
        <v>0</v>
      </c>
      <c r="AH23" s="1167">
        <f t="shared" si="14"/>
        <v>0</v>
      </c>
      <c r="AI23" s="1162">
        <f t="shared" si="14"/>
        <v>355</v>
      </c>
      <c r="AJ23" s="1164">
        <f t="shared" si="14"/>
        <v>0</v>
      </c>
      <c r="AK23" s="1167">
        <f t="shared" si="14"/>
        <v>0</v>
      </c>
      <c r="AL23" s="1171">
        <f>IF(ISNUMBER(NºAsuntos!G23/NºAsuntos!E23),NºAsuntos!G23/NºAsuntos!E23," - ")</f>
        <v>1.0111111111111111</v>
      </c>
      <c r="AM23" s="1171">
        <f>IF(ISNUMBER(((NºAsuntos!I23/NºAsuntos!G23)*11)/factor_trimestre),((NºAsuntos!I23/NºAsuntos!G23)*11)/factor_trimestre," - ")</f>
        <v>2.207056101792944</v>
      </c>
      <c r="AN23" s="1172">
        <f>IF(ISNUMBER('Resol  Asuntos'!D23/NºAsuntos!G23),'Resol  Asuntos'!D23/NºAsuntos!G23," - ")</f>
        <v>0.205320994794679</v>
      </c>
      <c r="AO23" s="1173">
        <f>IF(ISNUMBER((NºAsuntos!C23+NºAsuntos!E23)/NºAsuntos!G23),(NºAsuntos!C23+NºAsuntos!E23)/NºAsuntos!G23," - ")</f>
        <v>1.7085020242914979</v>
      </c>
      <c r="AP23" s="1174" t="str">
        <f t="shared" si="2"/>
        <v xml:space="preserve"> - </v>
      </c>
      <c r="AQ23" s="1174">
        <f>IF(ISNUMBER((H23-W23+K23)/(F23)),(H23-W23+K23)/(F23)," - ")</f>
        <v>-1.5833333333333333</v>
      </c>
      <c r="AR23" s="1175">
        <f>IF(ISNUMBER((Datos!P23-Datos!Q23)/(Datos!R23-Datos!P23+Datos!Q23)),(Datos!P23-Datos!Q23)/(Datos!R23-Datos!P23+Datos!Q23)," - ")</f>
        <v>-0.1111111111111111</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10</v>
      </c>
      <c r="F31" s="1117">
        <f t="shared" si="20"/>
        <v>1170</v>
      </c>
      <c r="G31" s="1118">
        <f t="shared" si="20"/>
        <v>1322</v>
      </c>
      <c r="H31" s="1117">
        <f t="shared" si="20"/>
        <v>0</v>
      </c>
      <c r="I31" s="1119">
        <f t="shared" si="20"/>
        <v>0</v>
      </c>
      <c r="J31" s="1119">
        <f t="shared" si="20"/>
        <v>0</v>
      </c>
      <c r="K31" s="1180">
        <f t="shared" si="20"/>
        <v>0</v>
      </c>
      <c r="L31" s="1119">
        <f t="shared" si="20"/>
        <v>572</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1753</v>
      </c>
      <c r="X31" s="1118">
        <f t="shared" si="21"/>
        <v>579</v>
      </c>
      <c r="Y31" s="1125">
        <f t="shared" si="21"/>
        <v>2240</v>
      </c>
      <c r="Z31" s="1125">
        <f t="shared" si="21"/>
        <v>0</v>
      </c>
      <c r="AA31" s="1125">
        <f t="shared" si="21"/>
        <v>1347</v>
      </c>
      <c r="AB31" s="1125">
        <f t="shared" si="21"/>
        <v>7759</v>
      </c>
      <c r="AC31" s="1125">
        <f t="shared" si="21"/>
        <v>1562</v>
      </c>
      <c r="AD31" s="1125">
        <f t="shared" si="21"/>
        <v>0</v>
      </c>
      <c r="AE31" s="1127">
        <f t="shared" si="21"/>
        <v>0</v>
      </c>
      <c r="AF31" s="1128">
        <f t="shared" si="21"/>
        <v>0</v>
      </c>
      <c r="AG31" s="1129">
        <f t="shared" si="21"/>
        <v>0</v>
      </c>
      <c r="AH31" s="1127">
        <f t="shared" si="21"/>
        <v>0</v>
      </c>
      <c r="AI31" s="1117">
        <f t="shared" si="21"/>
        <v>1088</v>
      </c>
      <c r="AJ31" s="1117">
        <f t="shared" si="21"/>
        <v>0</v>
      </c>
      <c r="AK31" s="1127">
        <f t="shared" si="21"/>
        <v>0</v>
      </c>
      <c r="AL31" s="1183">
        <f>IF(ISNUMBER(NºAsuntos!G31/NºAsuntos!E31),NºAsuntos!G31/NºAsuntos!E31," - ")</f>
        <v>1.0530376084860174</v>
      </c>
      <c r="AM31" s="1184">
        <f>IF(ISNUMBER(((NºAsuntos!I31/NºAsuntos!G31)*11)/factor_trimestre),((NºAsuntos!I31/NºAsuntos!G31)*11)/factor_trimestre," - ")</f>
        <v>3.2019230769230771</v>
      </c>
      <c r="AN31" s="1184">
        <f>IF(ISNUMBER('Resol  Asuntos'!D31/NºAsuntos!G31),'Resol  Asuntos'!D31/NºAsuntos!G31," - ")</f>
        <v>0.24908424908424909</v>
      </c>
      <c r="AO31" s="1185">
        <f>IF(ISNUMBER((NºAsuntos!C31+NºAsuntos!E31)/NºAsuntos!G31),(NºAsuntos!C31+NºAsuntos!E31)/NºAsuntos!G31," - ")</f>
        <v>2.0998168498168499</v>
      </c>
      <c r="AP31" s="1186" t="str">
        <f t="shared" si="2"/>
        <v xml:space="preserve"> - </v>
      </c>
      <c r="AQ31" s="1187">
        <f>IF(OR(ISNUMBER(FIND("01",Criterios!A8,1)),ISNUMBER(FIND("02",Criterios!A8,1)),ISNUMBER(FIND("03",Criterios!A8,1)),ISNUMBER(FIND("04",Criterios!A8,1))),(I31-W31+K31)/(F31-K31),(H31-W31+K31)/(F31-K31))</f>
        <v>-1.4982905982905983</v>
      </c>
      <c r="AR31" s="1188">
        <f>IF(ISNUMBER((Datos!P31-Datos!Q31)/(Datos!R31-Datos!P31+Datos!Q31)),(Datos!P31-Datos!Q31)/(Datos!R31-Datos!P31+Datos!Q31)," - ")</f>
        <v>-9.0136492402781356E-4</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330.5</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2.1466688460270076</v>
      </c>
      <c r="F33" s="276">
        <f>IF(ISNUMBER(STDEV(F8:F30)),STDEV(F8:F30),"-")</f>
        <v>518.44084017552552</v>
      </c>
      <c r="G33" s="277">
        <f>IF(ISNUMBER(STDEV(G8:G30)),STDEV(G8:G30),"-")</f>
        <v>509.25716209284394</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721.48948116280349</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269.30659933325887</v>
      </c>
      <c r="AJ33" s="276">
        <f t="shared" si="25"/>
        <v>0</v>
      </c>
      <c r="AK33" s="278">
        <f t="shared" si="25"/>
        <v>0</v>
      </c>
      <c r="AL33" s="273">
        <f t="shared" si="25"/>
        <v>6.7189706979808556E-2</v>
      </c>
      <c r="AM33" s="274">
        <f t="shared" si="25"/>
        <v>2.5212790156052298</v>
      </c>
      <c r="AN33" s="274">
        <f t="shared" si="25"/>
        <v>3.9878224192318977E-2</v>
      </c>
      <c r="AO33" s="275">
        <f t="shared" si="25"/>
        <v>0.85733604163127397</v>
      </c>
      <c r="AP33" s="317" t="str">
        <f t="shared" si="25"/>
        <v>-</v>
      </c>
      <c r="AQ33" s="318">
        <f t="shared" si="25"/>
        <v>0.90201441959053175</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3itFlQtW7GTNHrV2ZD/Osah3Yrwh7/DoueGDbr3ygpYeBxdhKuo162IRBSnwhbzq4WDqdT8wJwH4VifAw4jkvw==" saltValue="FtsnXNbT2QxlFprN83kcK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GALICIA</v>
      </c>
      <c r="E2" s="287"/>
    </row>
    <row r="3" spans="2:20" ht="17.25" customHeight="1">
      <c r="C3" s="291"/>
      <c r="D3" s="286" t="str">
        <f>Criterios!A10 &amp;"  "&amp;Criterios!B10</f>
        <v>Provincias  OURENSE</v>
      </c>
      <c r="E3" s="287"/>
    </row>
    <row r="4" spans="2:20" ht="17.25" customHeight="1" thickBot="1">
      <c r="D4" s="286" t="str">
        <f>Criterios!A11 &amp;"  "&amp;Criterios!B11</f>
        <v>Resumenes por Partidos Judiciales  OURENSE</v>
      </c>
      <c r="E4" s="287"/>
    </row>
    <row r="5" spans="2:20" ht="12.75" customHeight="1">
      <c r="B5" s="297"/>
      <c r="C5" s="1649" t="str">
        <f>"Año:  " &amp;Criterios!B5 &amp; "          Trimestre   " &amp;Criterios!D5 &amp; " al " &amp;Criterios!D6</f>
        <v>Año:  2022          Trimestre   2 al 2</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f>IF(ISNUMBER((Datos!M9-Datos!W9)/Datos!W9),(Datos!M9-Datos!W9)/Datos!W9," - ")</f>
        <v>-4.9586776859504135E-3</v>
      </c>
      <c r="I9" s="395">
        <f>IF(ISNUMBER((Tasas!C9-Datos!BE9)/Datos!BE9),(Tasas!C9-Datos!BE9)/Datos!BE9," - ")</f>
        <v>0.11922433142940098</v>
      </c>
      <c r="J9" s="394">
        <f>IF(ISNUMBER((Tasas!D9-Datos!BF9)/Datos!BF9),(Tasas!D9-Datos!BF9)/Datos!BF9," - ")</f>
        <v>-0.19664356311339501</v>
      </c>
      <c r="K9" s="396">
        <f>IF(ISNUMBER((Tasas!E9-Datos!BG9)/Datos!BG9),(Tasas!E9-Datos!BG9)/Datos!BG9," - ")</f>
        <v>5.6641492251290948E-2</v>
      </c>
      <c r="M9" t="e">
        <f>IF(Monitorios="SI",Datos!CE9,0)</f>
        <v>#REF!</v>
      </c>
      <c r="N9" t="e">
        <f>IF(Monitorios="SI",Datos!CF9,0)</f>
        <v>#REF!</v>
      </c>
      <c r="O9" t="e">
        <f>IF(Monitorios="SI",Datos!CG9,0)</f>
        <v>#REF!</v>
      </c>
      <c r="P9" t="e">
        <f>IF(Monitorios="SI",Datos!CH9,0)</f>
        <v>#REF!</v>
      </c>
      <c r="Q9">
        <f>IF(J_V="SI",0,Datos!AG9)</f>
        <v>80</v>
      </c>
      <c r="R9">
        <f>IF(J_V="SI",0,Datos!AH9)</f>
        <v>164</v>
      </c>
      <c r="S9">
        <f>IF(J_V="SI",0,Datos!AI9)</f>
        <v>198</v>
      </c>
      <c r="T9">
        <f>IF(J_V="SI",0,Datos!AJ9)</f>
        <v>46</v>
      </c>
    </row>
    <row r="10" spans="2:20" ht="14.25">
      <c r="B10" s="300" t="s">
        <v>321</v>
      </c>
      <c r="C10" s="7" t="str">
        <f>Datos!A10</f>
        <v>Jdos. Violencia contra la mujer</v>
      </c>
      <c r="D10" s="397">
        <f>IF(ISNUMBER((Datos!I10-Datos!S10)/Datos!S10),(Datos!I10-Datos!S10)/Datos!S10," - ")</f>
        <v>0</v>
      </c>
      <c r="E10" s="393">
        <f>IF(ISNUMBER((Datos!J10-Datos!T10)/Datos!T10),(Datos!J10-Datos!T10)/Datos!T10," - ")</f>
        <v>-0.59615384615384615</v>
      </c>
      <c r="F10" s="393">
        <f>IF(ISNUMBER((Datos!K10-Datos!U10)/Datos!U10),(Datos!K10-Datos!U10)/Datos!U10," - ")</f>
        <v>-0.48936170212765956</v>
      </c>
      <c r="G10" s="394">
        <f>IF(ISNUMBER((Datos!L10-Datos!V10)/Datos!V10),(Datos!L10-Datos!V10)/Datos!V10," - ")</f>
        <v>-2.5974025974025976E-2</v>
      </c>
      <c r="H10" s="244">
        <f>IF(ISNUMBER((Datos!M10-Datos!W10)/Datos!W10),(Datos!M10-Datos!W10)/Datos!W10," - ")</f>
        <v>-0.73913043478260865</v>
      </c>
      <c r="I10" s="395">
        <f>IF(ISNUMBER((Tasas!C10-Datos!BE10)/Datos!BE10),(Tasas!C10-Datos!BE10)/Datos!BE10," - ")</f>
        <v>0.90746753246753242</v>
      </c>
      <c r="J10" s="394">
        <f>IF(ISNUMBER((Tasas!D10-Datos!BF10)/Datos!BF10),(Tasas!D10-Datos!BF10)/Datos!BF10," - ")</f>
        <v>-0.4891304347826087</v>
      </c>
      <c r="K10" s="396">
        <f>IF(ISNUMBER((Tasas!E10-Datos!BG10)/Datos!BG10),(Tasas!E10-Datos!BG10)/Datos!BG10," - ")</f>
        <v>0.49134615384615371</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f>IF(ISNUMBER((Datos!M11-Datos!W11)/Datos!W11),(Datos!M11-Datos!W11)/Datos!W11," - ")</f>
        <v>-0.41588785046728971</v>
      </c>
      <c r="I11" s="395">
        <f>IF(ISNUMBER((Tasas!C11-Datos!BE11)/Datos!BE11),(Tasas!C11-Datos!BE11)/Datos!BE11," - ")</f>
        <v>-9.6539651228240458E-2</v>
      </c>
      <c r="J11" s="394">
        <f>IF(ISNUMBER((Tasas!D11-Datos!BF11)/Datos!BF11),(Tasas!D11-Datos!BF11)/Datos!BF11," - ")</f>
        <v>-0.47543477065733286</v>
      </c>
      <c r="K11" s="396">
        <f>IF(ISNUMBER((Tasas!E11-Datos!BG11)/Datos!BG11),(Tasas!E11-Datos!BG11)/Datos!BG11," - ")</f>
        <v>-0.12566973502052317</v>
      </c>
      <c r="M11" t="e">
        <f>IF(Monitorios="SI",Datos!CE11,0)</f>
        <v>#REF!</v>
      </c>
      <c r="N11" t="e">
        <f>IF(Monitorios="SI",Datos!CF11,0)</f>
        <v>#REF!</v>
      </c>
      <c r="O11" t="e">
        <f>IF(Monitorios="SI",Datos!CG11,0)</f>
        <v>#REF!</v>
      </c>
      <c r="P11" t="e">
        <f>IF(Monitorios="SI",Datos!CH11,0)</f>
        <v>#REF!</v>
      </c>
      <c r="Q11">
        <f>IF(J_V="SI",0,Datos!AG11)</f>
        <v>755</v>
      </c>
      <c r="R11">
        <f>IF(J_V="SI",0,Datos!AH11)</f>
        <v>207</v>
      </c>
      <c r="S11">
        <f>IF(J_V="SI",0,Datos!AI11)</f>
        <v>267</v>
      </c>
      <c r="T11">
        <f>IF(J_V="SI",0,Datos!AJ11)</f>
        <v>275</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t="str">
        <f>IF(ISNUMBER((Datos!M12-Datos!W12)/Datos!W12),(Datos!M12-Datos!W12)/Datos!W12," - ")</f>
        <v xml:space="preserve"> - </v>
      </c>
      <c r="I12" s="395" t="str">
        <f>IF(ISNUMBER((Tasas!C12-Datos!BE12)/Datos!BE12),(Tasas!C12-Datos!BE12)/Datos!BE12," - ")</f>
        <v xml:space="preserve"> - </v>
      </c>
      <c r="J12" s="394" t="str">
        <f>IF(ISNUMBER((Tasas!D12-Datos!BF12)/Datos!BF12),(Tasas!D12-Datos!BF12)/Datos!BF12," - ")</f>
        <v xml:space="preserve"> - </v>
      </c>
      <c r="K12" s="396"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-0.12945368171021376</v>
      </c>
      <c r="I14" s="402">
        <f>IF(ISNUMBER((Tasas!C14-Datos!BE14)/Datos!BE14),(Tasas!C14-Datos!BE14)/Datos!BE14," - ")</f>
        <v>7.1318210246791289E-2</v>
      </c>
      <c r="J14" s="400">
        <f>IF(ISNUMBER((Tasas!D14-Datos!BF14)/Datos!BF14),(Tasas!D14-Datos!BF14)/Datos!BF14," - ")</f>
        <v>-0.26725348449770658</v>
      </c>
      <c r="K14" s="403">
        <f>IF(ISNUMBER((Tasas!E14-Datos!BG14)/Datos!BG14),(Tasas!E14-Datos!BG14)/Datos!BG14," - ")</f>
        <v>1.0294210310844145E-2</v>
      </c>
      <c r="M14" t="e">
        <f>IF(Monitorios="SI",Datos!CE14,0)</f>
        <v>#REF!</v>
      </c>
      <c r="N14" t="e">
        <f>IF(Monitorios="SI",Datos!CF14,0)</f>
        <v>#REF!</v>
      </c>
      <c r="O14" t="e">
        <f>IF(Monitorios="SI",Datos!CG14,0)</f>
        <v>#REF!</v>
      </c>
      <c r="P14" t="e">
        <f>IF(Monitorios="SI",Datos!CH14,0)</f>
        <v>#REF!</v>
      </c>
      <c r="Q14">
        <f>IF(J_V="SI",0,Datos!AG14)</f>
        <v>835</v>
      </c>
      <c r="R14">
        <f>IF(J_V="SI",0,Datos!AH14)</f>
        <v>371</v>
      </c>
      <c r="S14">
        <f>IF(J_V="SI",0,Datos!AI14)</f>
        <v>465</v>
      </c>
      <c r="T14">
        <f>IF(J_V="SI",0,Datos!AJ14)</f>
        <v>321</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f>IF(ISNUMBER(
   IF(D_I="SI",(Datos!I16-Datos!S16)/Datos!S16,(Datos!I16+Datos!AC16-(Datos!S16+Datos!AK16))/(Datos!S16+Datos!AK16))
     ),IF(D_I="SI",(Datos!I16-Datos!S16)/Datos!S16,(Datos!I16+Datos!AC16-(Datos!S16+Datos!AK16))/(Datos!S16+Datos!AK16))," - ")</f>
        <v>-0.32207792207792207</v>
      </c>
      <c r="E16" s="393">
        <f>IF(ISNUMBER(
   IF(D_I="SI",(Datos!J16-Datos!T16)/Datos!T16,(Datos!J16+Datos!AD16-(Datos!T16+Datos!AL16))/(Datos!T16+Datos!AL16))
     ),IF(D_I="SI",(Datos!J16-Datos!T16)/Datos!T16,(Datos!J16+Datos!AD16-(Datos!T16+Datos!AL16))/(Datos!T16+Datos!AL16))," - ")</f>
        <v>2.6831036983321246E-2</v>
      </c>
      <c r="F16" s="393">
        <f>IF(ISNUMBER(
   IF(D_I="SI",(Datos!K16-Datos!U16)/Datos!U16,(Datos!K16+Datos!AE16-(Datos!U16+Datos!AM16))/(Datos!U16+Datos!AM16))
     ),IF(D_I="SI",(Datos!K16-Datos!U16)/Datos!U16,(Datos!K16+Datos!AE16-(Datos!U16+Datos!AM16))/(Datos!U16+Datos!AM16))," - ")</f>
        <v>1.1126564673157162E-2</v>
      </c>
      <c r="G16" s="394">
        <f>IF(ISNUMBER(
   IF(D_I="SI",(Datos!L16-Datos!V16)/Datos!V16,(Datos!L16+Datos!AF16-(Datos!V16+Datos!AN16))/(Datos!V16+Datos!AN16))
     ),IF(D_I="SI",(Datos!L16-Datos!V16)/Datos!V16,(Datos!L16+Datos!AF16-(Datos!V16+Datos!AN16))/(Datos!V16+Datos!AN16))," - ")</f>
        <v>-0.22172949002217296</v>
      </c>
      <c r="H16" s="244">
        <f>IF(ISNUMBER((Datos!M16-Datos!W16)/Datos!W16),(Datos!M16-Datos!W16)/Datos!W16," - ")</f>
        <v>-0.12422360248447205</v>
      </c>
      <c r="I16" s="395">
        <f>IF(ISNUMBER((Tasas!C16-Datos!BE16)/Datos!BE16),(Tasas!C16-Datos!BE16)/Datos!BE16," - ")</f>
        <v>-0.2302936772021216</v>
      </c>
      <c r="J16" s="394">
        <f>IF(ISNUMBER((Tasas!D16-Datos!BF16)/Datos!BF16),(Tasas!D16-Datos!BF16)/Datos!BF16," - ")</f>
        <v>-0.13386075679000742</v>
      </c>
      <c r="K16" s="396">
        <f>IF(ISNUMBER((Tasas!E16-Datos!BG16)/Datos!BG16),(Tasas!E16-Datos!BG16)/Datos!BG16," - ")</f>
        <v>-0.16651940777894486</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v>
      </c>
      <c r="E17" s="393" t="str">
        <f>IF(ISNUMBER(
   IF(D_I="SI",(Datos!J17-Datos!T17)/Datos!T17,(Datos!J17+Datos!AD17-(Datos!T17+Datos!AL17))/(Datos!T17+Datos!AL17))
     ),IF(D_I="SI",(Datos!J17-Datos!T17)/Datos!T17,(Datos!J17+Datos!AD17-(Datos!T17+Datos!AL17))/(Datos!T17+Datos!AL17))," - ")</f>
        <v xml:space="preserve"> - </v>
      </c>
      <c r="F17" s="393" t="str">
        <f>IF(ISNUMBER(
   IF(D_I="SI",(Datos!K17-Datos!U17)/Datos!U17,(Datos!K17+Datos!AE17-(Datos!U17+Datos!AM17))/(Datos!U17+Datos!AM17))
     ),IF(D_I="SI",(Datos!K17-Datos!U17)/Datos!U17,(Datos!K17+Datos!AE17-(Datos!U17+Datos!AM17))/(Datos!U17+Datos!AM17))," - ")</f>
        <v xml:space="preserve"> - </v>
      </c>
      <c r="G17" s="394">
        <f>IF(ISNUMBER(
   IF(D_I="SI",(Datos!L17-Datos!V17)/Datos!V17,(Datos!L17+Datos!AF17-(Datos!V17+Datos!AN17))/(Datos!V17+Datos!AN17))
     ),IF(D_I="SI",(Datos!L17-Datos!V17)/Datos!V17,(Datos!L17+Datos!AF17-(Datos!V17+Datos!AN17))/(Datos!V17+Datos!AN17))," - ")</f>
        <v>0</v>
      </c>
      <c r="H17" s="244" t="str">
        <f>IF(ISNUMBER((Datos!M17-Datos!W17)/Datos!W17),(Datos!M17-Datos!W17)/Datos!W17," - ")</f>
        <v xml:space="preserve"> - </v>
      </c>
      <c r="I17" s="395" t="str">
        <f>IF(ISNUMBER((Tasas!C17-Datos!BE17)/Datos!BE17),(Tasas!C17-Datos!BE17)/Datos!BE17," - ")</f>
        <v xml:space="preserve"> - </v>
      </c>
      <c r="J17" s="394" t="str">
        <f>IF(ISNUMBER((Tasas!D17-Datos!BF17)/Datos!BF17),(Tasas!D17-Datos!BF17)/Datos!BF17," - ")</f>
        <v xml:space="preserve"> - </v>
      </c>
      <c r="K17" s="396" t="str">
        <f>IF(ISNUMBER((Tasas!E17-Datos!BG17)/Datos!BG17),(Tasas!E17-Datos!BG17)/Datos!BG17," - ")</f>
        <v xml:space="preserve"> - </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0.31788079470198677</v>
      </c>
      <c r="E18" s="393">
        <f>IF(ISNUMBER(
   IF(D_I="SI",(Datos!J18-Datos!T18)/Datos!T18,(Datos!J18+Datos!AD18-(Datos!T18+Datos!AL18))/(Datos!T18+Datos!AL18))
     ),IF(D_I="SI",(Datos!J18-Datos!T18)/Datos!T18,(Datos!J18+Datos!AD18-(Datos!T18+Datos!AL18))/(Datos!T18+Datos!AL18))," - ")</f>
        <v>0.72941176470588232</v>
      </c>
      <c r="F18" s="393">
        <f>IF(ISNUMBER(
   IF(D_I="SI",(Datos!K18-Datos!U18)/Datos!U18,(Datos!K18+Datos!AE18-(Datos!U18+Datos!AM18))/(Datos!U18+Datos!AM18))
     ),IF(D_I="SI",(Datos!K18-Datos!U18)/Datos!U18,(Datos!K18+Datos!AE18-(Datos!U18+Datos!AM18))/(Datos!U18+Datos!AM18))," - ")</f>
        <v>0.28504672897196259</v>
      </c>
      <c r="G18" s="394">
        <f>IF(ISNUMBER(
   IF(D_I="SI",(Datos!L18-Datos!V18)/Datos!V18,(Datos!L18+Datos!AF18-(Datos!V18+Datos!AN18))/(Datos!V18+Datos!AN18))
     ),IF(D_I="SI",(Datos!L18-Datos!V18)/Datos!V18,(Datos!L18+Datos!AF18-(Datos!V18+Datos!AN18))/(Datos!V18+Datos!AN18))," - ")</f>
        <v>1.0373831775700935</v>
      </c>
      <c r="H18" s="244">
        <f>IF(ISNUMBER((Datos!M18-Datos!W18)/Datos!W18),(Datos!M18-Datos!W18)/Datos!W18," - ")</f>
        <v>2.65</v>
      </c>
      <c r="I18" s="395">
        <f>IF(ISNUMBER((Tasas!C18-Datos!BE18)/Datos!BE18),(Tasas!C18-Datos!BE18)/Datos!BE18," - ")</f>
        <v>0.58545454545454545</v>
      </c>
      <c r="J18" s="394">
        <f>IF(ISNUMBER((Tasas!D18-Datos!BF18)/Datos!BF18),(Tasas!D18-Datos!BF18)/Datos!BF18," - ")</f>
        <v>1.8403636363636362</v>
      </c>
      <c r="K18" s="396">
        <f>IF(ISNUMBER((Tasas!E18-Datos!BG18)/Datos!BG18),(Tasas!E18-Datos!BG18)/Datos!BG18," - ")</f>
        <v>0.19515151515151516</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-0.26477541371158392</v>
      </c>
      <c r="E23" s="399">
        <f>IF(ISNUMBER(
   IF(D_I="SI",(Datos!J23-Datos!T23)/Datos!T23,(Datos!J23+Datos!AD23-(Datos!T23+Datos!AL23))/(Datos!T23+Datos!AL23))
     ),IF(D_I="SI",(Datos!J23-Datos!T23)/Datos!T23,(Datos!J23+Datos!AD23-(Datos!T23+Datos!AL23))/(Datos!T23+Datos!AL23))," - ")</f>
        <v>0.10393802453195609</v>
      </c>
      <c r="F23" s="399">
        <f>IF(ISNUMBER(
   IF(D_I="SI",(Datos!K23-Datos!U23)/Datos!U23,(Datos!K23+Datos!AE23-(Datos!U23+Datos!AM23))/(Datos!U23+Datos!AM23))
     ),IF(D_I="SI",(Datos!K23-Datos!U23)/Datos!U23,(Datos!K23+Datos!AE23-(Datos!U23+Datos!AM23))/(Datos!U23+Datos!AM23))," - ")</f>
        <v>4.6610169491525424E-2</v>
      </c>
      <c r="G23" s="400">
        <f>IF(ISNUMBER(
   IF(D_I="SI",(Datos!L23-Datos!V23)/Datos!V23,(Datos!L23+Datos!AF23-(Datos!V23+Datos!AN23))/(Datos!V23+Datos!AN23))
     ),IF(D_I="SI",(Datos!L23-Datos!V23)/Datos!V23,(Datos!L23+Datos!AF23-(Datos!V23+Datos!AN23))/(Datos!V23+Datos!AN23))," - ")</f>
        <v>-0.12936344969199179</v>
      </c>
      <c r="H23" s="401">
        <f>IF(ISNUMBER((Datos!M23-Datos!W23)/Datos!W23),(Datos!M23-Datos!W23)/Datos!W23," - ")</f>
        <v>3.8011695906432746E-2</v>
      </c>
      <c r="I23" s="402">
        <f>IF(ISNUMBER((Tasas!C23-Datos!BE23)/Datos!BE23),(Tasas!C23-Datos!BE23)/Datos!BE23," - ")</f>
        <v>-0.16813673735753054</v>
      </c>
      <c r="J23" s="400">
        <f>IF(ISNUMBER((Tasas!D23-Datos!BF23)/Datos!BF23),(Tasas!D23-Datos!BF23)/Datos!BF23," - ")</f>
        <v>-8.2155456116675182E-3</v>
      </c>
      <c r="K23" s="403">
        <f>IF(ISNUMBER((Tasas!E23-Datos!BG23)/Datos!BG23),(Tasas!E23-Datos!BG23)/Datos!BG23," - ")</f>
        <v>-0.12914367660303783</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-0.215</v>
      </c>
      <c r="E31" s="409">
        <f>IF(ISNUMBER(
   IF(J_V="SI",(Datos!J31-Datos!T31)/Datos!T31,(Datos!J31+Datos!Z31-(Datos!T31+Datos!AH31))/(Datos!T31+Datos!AH31))
     ),IF(J_V="SI",(Datos!J31-Datos!T31)/Datos!T31,(Datos!J31+Datos!Z31-(Datos!T31+Datos!AH31))/(Datos!T31+Datos!AH31))," - ")</f>
        <v>-3.62453531598513E-2</v>
      </c>
      <c r="F31" s="409">
        <f>IF(ISNUMBER(
   IF(J_V="SI",(Datos!K31-Datos!U31)/Datos!U31,(Datos!K31+Datos!AA31-(Datos!U31+Datos!AI31))/(Datos!U31+Datos!AI31))
     ),IF(J_V="SI",(Datos!K31-Datos!U31)/Datos!U31,(Datos!K31+Datos!AA31-(Datos!U31+Datos!AI31))/(Datos!U31+Datos!AI31))," - ")</f>
        <v>-9.9752679307502062E-2</v>
      </c>
      <c r="G31" s="410">
        <f>IF(ISNUMBER(
   IF(J_V="SI",(Datos!L31-Datos!V31)/Datos!V31,(Datos!L31+Datos!AB31-(Datos!V31+Datos!AJ31))/(Datos!V31+Datos!AJ31))
     ),IF(J_V="SI",(Datos!L31-Datos!V31)/Datos!V31,(Datos!L31+Datos!AB31-(Datos!V31+Datos!AJ31))/(Datos!V31+Datos!AJ31))," - ")</f>
        <v>-0.12004530011325028</v>
      </c>
      <c r="H31" s="411">
        <f>IF(ISNUMBER((Datos!M31-Datos!W31)/Datos!W31),(Datos!M31-Datos!W31)/Datos!W31," - ")</f>
        <v>-8.1081081081081086E-2</v>
      </c>
      <c r="I31" s="408">
        <f>IF(ISNUMBER((Tasas!C31-Datos!BE31)/Datos!BE31),(Tasas!C31-Datos!BE31)/Datos!BE31," - ")</f>
        <v>-2.2541162122136145E-2</v>
      </c>
      <c r="J31" s="409">
        <f>IF(ISNUMBER((Tasas!D31-Datos!BF31)/Datos!BF31),(Tasas!D31-Datos!BF31)/Datos!BF31," - ")</f>
        <v>-0.22279306973840729</v>
      </c>
      <c r="K31" s="410">
        <f>IF(ISNUMBER((Tasas!E31-Datos!BG31)/Datos!BG31),(Tasas!E31-Datos!BG31)/Datos!BG31," - ")</f>
        <v>-4.8177190273602864E-2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0.25515640383141652</v>
      </c>
      <c r="E33" s="303">
        <f t="shared" si="1"/>
        <v>0.54207514445684013</v>
      </c>
      <c r="F33" s="303">
        <f t="shared" si="1"/>
        <v>0.32539797505614754</v>
      </c>
      <c r="G33" s="304">
        <f t="shared" si="1"/>
        <v>0.51369589156854656</v>
      </c>
      <c r="H33" s="310">
        <f t="shared" si="1"/>
        <v>1.1212669627712533</v>
      </c>
      <c r="I33" s="302">
        <f t="shared" si="1"/>
        <v>0.4231610505073799</v>
      </c>
      <c r="J33" s="303">
        <f t="shared" si="1"/>
        <v>0.81341908370280336</v>
      </c>
      <c r="K33" s="304">
        <f t="shared" si="1"/>
        <v>0.23354630004934074</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QtJB2dGNW1hW8xaTdSD/LrOv9e9WGWBAklv9Gh5ophaWzvIlD1rODsdIkuDTqyFu4epFFHDyytNhinEn3heRtA==" saltValue="/beo51m6J24n3NkPFXylog=="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2023-05-05T22:17:45Z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